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qRC/bhK4uzWE52dApm4BN8OmoiFN9fgIcY0qeHfvzMsnOL/9qSGJTEfnVLO3Bymf84BAaJwfMWtxE6fZl+vWA==" workbookSaltValue="RMy7+6L3Bt9B3WENrhcJw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ES31" i="8"/>
  <c r="AA31" i="8"/>
  <c r="EP31" i="8"/>
  <c r="ER31" i="13"/>
  <c r="EP31" i="19"/>
  <c r="S14" i="16"/>
  <c r="P14" i="16"/>
  <c r="F13" i="16"/>
  <c r="N30" i="16"/>
  <c r="H14" i="21"/>
  <c r="K26" i="2"/>
  <c r="K23" i="2"/>
  <c r="N26" i="2"/>
  <c r="M14" i="2"/>
  <c r="N14" i="2"/>
  <c r="G26" i="2"/>
  <c r="N23" i="2"/>
  <c r="F30" i="17"/>
  <c r="F14" i="7"/>
  <c r="T14" i="16"/>
  <c r="T14" i="20"/>
  <c r="BF25" i="8"/>
  <c r="BF9" i="8"/>
  <c r="C30" i="7"/>
  <c r="AO14" i="21"/>
  <c r="AP14" i="16"/>
  <c r="T23" i="17"/>
  <c r="T26" i="17" s="1"/>
  <c r="T30" i="17" s="1"/>
  <c r="BG16" i="13"/>
  <c r="BE16" i="13"/>
  <c r="X32" i="20"/>
  <c r="G23" i="14"/>
  <c r="G30" i="14"/>
  <c r="G23" i="12" l="1"/>
  <c r="M23" i="2"/>
  <c r="K30" i="2"/>
  <c r="H21" i="2"/>
  <c r="AY14" i="8"/>
  <c r="BG16" i="8"/>
  <c r="Z14" i="17"/>
  <c r="BD17" i="13"/>
  <c r="BE17" i="13"/>
  <c r="BF17" i="8"/>
  <c r="B16" i="6"/>
  <c r="BD12" i="8"/>
  <c r="R8" i="9"/>
  <c r="AA28" i="16" s="1"/>
  <c r="X18" i="17"/>
  <c r="V12" i="16"/>
  <c r="S29" i="14"/>
  <c r="V29" i="14" s="1"/>
  <c r="T13" i="11"/>
  <c r="T16" i="11"/>
  <c r="X11" i="17"/>
  <c r="AZ28" i="11"/>
  <c r="R13" i="17"/>
  <c r="AS14" i="8"/>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C30" i="2"/>
  <c r="D30" i="2" s="1"/>
  <c r="AL18" i="11"/>
  <c r="BI18" i="16"/>
  <c r="B29" i="6"/>
  <c r="AN9" i="11"/>
  <c r="K9" i="7"/>
  <c r="AO11" i="11"/>
  <c r="AL9" i="11"/>
  <c r="H12" i="2"/>
  <c r="H10" i="2"/>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N13" i="11"/>
  <c r="B21" i="6"/>
  <c r="J12" i="2"/>
  <c r="H9" i="2"/>
  <c r="D19" i="6"/>
  <c r="BI17" i="16"/>
  <c r="L11" i="14"/>
  <c r="E20" i="6"/>
  <c r="H16" i="2"/>
  <c r="T10" i="21"/>
  <c r="BD23" i="19"/>
  <c r="BB31" i="19"/>
  <c r="BE30" i="19"/>
  <c r="AT26" i="20"/>
  <c r="Y31" i="19"/>
  <c r="AG31" i="19"/>
  <c r="F17" i="17"/>
  <c r="AZ14" i="13"/>
  <c r="BM31" i="13"/>
  <c r="AD31" i="13"/>
  <c r="BE18" i="13"/>
  <c r="BG19" i="13"/>
  <c r="BG20" i="13"/>
  <c r="BE21" i="13"/>
  <c r="BD28" i="13"/>
  <c r="BC30" i="13"/>
  <c r="BG29" i="13"/>
  <c r="BB30" i="13"/>
  <c r="BF28" i="8"/>
  <c r="J28" i="7" s="1"/>
  <c r="BC30" i="8"/>
  <c r="AZ30" i="8"/>
  <c r="BB30" i="8"/>
  <c r="AO26" i="17"/>
  <c r="AJ31" i="8"/>
  <c r="AQ26" i="21"/>
  <c r="AN26" i="17"/>
  <c r="AH31" i="8"/>
  <c r="F12" i="10"/>
  <c r="J12" i="10"/>
  <c r="L12" i="10" s="1"/>
  <c r="AI26" i="11"/>
  <c r="D30" i="14"/>
  <c r="F12" i="2"/>
  <c r="E14" i="2"/>
  <c r="F14" i="2" s="1"/>
  <c r="I14" i="2"/>
  <c r="J14" i="2" s="1"/>
  <c r="L20" i="14"/>
  <c r="C18" i="6"/>
  <c r="AP19" i="11"/>
  <c r="AP12" i="11"/>
  <c r="AP10" i="11"/>
  <c r="AP14" i="17"/>
  <c r="BJ14" i="16"/>
  <c r="O31" i="8"/>
  <c r="AW23" i="21"/>
  <c r="BM23" i="16"/>
  <c r="H33" i="21"/>
  <c r="H29" i="2"/>
  <c r="B25" i="6"/>
  <c r="F18" i="2"/>
  <c r="J16" i="2"/>
  <c r="BE10" i="8"/>
  <c r="I10" i="7" s="1"/>
  <c r="G21" i="3"/>
  <c r="G12" i="3"/>
  <c r="W14" i="17"/>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G14" i="2"/>
  <c r="D12" i="2"/>
  <c r="AO12" i="11"/>
  <c r="E12" i="6"/>
  <c r="D10" i="2"/>
  <c r="AO10" i="11"/>
  <c r="E10" i="6"/>
  <c r="L13" i="14"/>
  <c r="J13" i="2"/>
  <c r="D19" i="2"/>
  <c r="AO19" i="11"/>
  <c r="C23" i="2"/>
  <c r="D23" i="2" s="1"/>
  <c r="I9" i="7"/>
  <c r="H16" i="7"/>
  <c r="K12" i="7"/>
  <c r="K10" i="7"/>
  <c r="H25" i="7"/>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J9" i="2"/>
  <c r="B22" i="6"/>
  <c r="AN22" i="11"/>
  <c r="L22" i="14"/>
  <c r="C22" i="6"/>
  <c r="J22" i="2"/>
  <c r="J20" i="7"/>
  <c r="BC33" i="21"/>
  <c r="BE14" i="19"/>
  <c r="Q31" i="19"/>
  <c r="X31" i="19"/>
  <c r="AF31" i="19"/>
  <c r="AN31" i="19"/>
  <c r="BI31" i="19"/>
  <c r="AY31" i="19"/>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X12" i="16" l="1"/>
  <c r="X17" i="20"/>
  <c r="X17" i="17"/>
  <c r="T11" i="11"/>
  <c r="R19" i="14"/>
  <c r="X25" i="16"/>
  <c r="X30" i="16" s="1"/>
  <c r="X20" i="20"/>
  <c r="X22" i="17"/>
  <c r="K9" i="12"/>
  <c r="AP14" i="20"/>
  <c r="AO13" i="17"/>
  <c r="V10" i="21"/>
  <c r="AM11" i="11"/>
  <c r="AO21" i="17"/>
  <c r="BH30" i="16"/>
  <c r="X22" i="16"/>
  <c r="X9" i="16"/>
  <c r="X31" i="16" s="1"/>
  <c r="S22" i="17"/>
  <c r="U10" i="21"/>
  <c r="X21" i="17"/>
  <c r="X25" i="17"/>
  <c r="S9" i="14"/>
  <c r="V9" i="14" s="1"/>
  <c r="T25" i="11"/>
  <c r="R29" i="14"/>
  <c r="R30" i="14" s="1"/>
  <c r="R12" i="14"/>
  <c r="S19" i="14"/>
  <c r="V19" i="14" s="1"/>
  <c r="T19" i="20"/>
  <c r="V16" i="16"/>
  <c r="X18" i="20"/>
  <c r="X10"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Q10" i="11" s="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BH18" i="11"/>
  <c r="BG19" i="11"/>
  <c r="BM16" i="11"/>
  <c r="AZ9" i="11"/>
  <c r="AP26" i="21"/>
  <c r="BM20" i="11"/>
  <c r="AP18" i="20"/>
  <c r="BJ28" i="11"/>
  <c r="BG21" i="11"/>
  <c r="BU28" i="17"/>
  <c r="BU25" i="17"/>
  <c r="BU11" i="17"/>
  <c r="BV28" i="16"/>
  <c r="BW9" i="20"/>
  <c r="BV13" i="16"/>
  <c r="BU21" i="17"/>
  <c r="BW13" i="20"/>
  <c r="BV17" i="16"/>
  <c r="BV21" i="16"/>
  <c r="BW17" i="20"/>
  <c r="BU29" i="17"/>
  <c r="BV25" i="16"/>
  <c r="BV11" i="16"/>
  <c r="T18" i="11"/>
  <c r="S20" i="14"/>
  <c r="V20" i="14" s="1"/>
  <c r="BH16" i="11"/>
  <c r="P18" i="17"/>
  <c r="BF29" i="11"/>
  <c r="BK19" i="11"/>
  <c r="BG29" i="11"/>
  <c r="Q10" i="21"/>
  <c r="Q14" i="21" s="1"/>
  <c r="Q31" i="21" s="1"/>
  <c r="BK25" i="11"/>
  <c r="BH20" i="11"/>
  <c r="BG9" i="11"/>
  <c r="BL11" i="11"/>
  <c r="R18" i="20"/>
  <c r="R23" i="20" s="1"/>
  <c r="BL21" i="11"/>
  <c r="BK18" i="11"/>
  <c r="T18" i="16"/>
  <c r="BL29" i="11"/>
  <c r="T16" i="16"/>
  <c r="BW20" i="20"/>
  <c r="BV19" i="16"/>
  <c r="BV18" i="16"/>
  <c r="BW18" i="20"/>
  <c r="BV12" i="16"/>
  <c r="BW12" i="20"/>
  <c r="BV16" i="16"/>
  <c r="BW16" i="20"/>
  <c r="BU20" i="17"/>
  <c r="U10" i="17"/>
  <c r="BW29" i="20"/>
  <c r="BV10" i="16"/>
  <c r="BW22" i="20"/>
  <c r="BU18" i="17"/>
  <c r="BV29" i="16"/>
  <c r="S11" i="17"/>
  <c r="BU17" i="17"/>
  <c r="BV20" i="16"/>
  <c r="AZ22" i="11"/>
  <c r="AA20" i="16"/>
  <c r="R28" i="14"/>
  <c r="AZ17" i="11"/>
  <c r="X16" i="17"/>
  <c r="BF20" i="11"/>
  <c r="T17" i="11"/>
  <c r="S16" i="16"/>
  <c r="S23" i="16" s="1"/>
  <c r="S31" i="16" s="1"/>
  <c r="P16" i="17"/>
  <c r="BL20" i="11"/>
  <c r="BF12" i="11"/>
  <c r="BL16" i="11"/>
  <c r="Q16" i="11" s="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11" i="16"/>
  <c r="BK13" i="11"/>
  <c r="BH19" i="16"/>
  <c r="BM29" i="11"/>
  <c r="BH19" i="11"/>
  <c r="BK9" i="11"/>
  <c r="S9" i="17"/>
  <c r="BI10" i="11"/>
  <c r="BM25" i="11"/>
  <c r="V28" i="11"/>
  <c r="BI18" i="11"/>
  <c r="S28" i="14"/>
  <c r="V28" i="14" s="1"/>
  <c r="BH28" i="16"/>
  <c r="V29" i="11"/>
  <c r="V22" i="11"/>
  <c r="AZ21" i="11"/>
  <c r="AO28" i="17"/>
  <c r="BJ25" i="11"/>
  <c r="AZ16" i="11"/>
  <c r="AZ23" i="11" s="1"/>
  <c r="AZ26" i="11" s="1"/>
  <c r="BU16" i="17"/>
  <c r="BW19" i="20"/>
  <c r="X20" i="16"/>
  <c r="BU10" i="17"/>
  <c r="BW25" i="20"/>
  <c r="BU22" i="17"/>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S16" i="17"/>
  <c r="S17" i="17"/>
  <c r="L12" i="2"/>
  <c r="L25" i="2"/>
  <c r="L13" i="2"/>
  <c r="X10" i="21"/>
  <c r="X31" i="21" s="1"/>
  <c r="L19" i="2"/>
  <c r="U9" i="17"/>
  <c r="U31" i="17" s="1"/>
  <c r="L9" i="2"/>
  <c r="V25" i="16"/>
  <c r="X13" i="16"/>
  <c r="T28" i="11"/>
  <c r="T19" i="11"/>
  <c r="R22" i="14"/>
  <c r="R11" i="14"/>
  <c r="S21" i="14"/>
  <c r="V21" i="14" s="1"/>
  <c r="S10" i="14"/>
  <c r="V10" i="14" s="1"/>
  <c r="AQ14" i="21"/>
  <c r="AO9" i="17"/>
  <c r="AM13" i="11"/>
  <c r="AP14" i="21"/>
  <c r="AM16" i="11"/>
  <c r="AM12" i="11"/>
  <c r="X14" i="17"/>
  <c r="AO16" i="17"/>
  <c r="BH26" i="16"/>
  <c r="AP30" i="20"/>
  <c r="AM21" i="11"/>
  <c r="S28" i="17"/>
  <c r="AM19" i="11"/>
  <c r="AO10" i="17"/>
  <c r="AO30" i="17"/>
  <c r="AP23" i="20"/>
  <c r="AP30" i="21"/>
  <c r="X14" i="20"/>
  <c r="AM17" i="11"/>
  <c r="S13" i="17"/>
  <c r="X16" i="16"/>
  <c r="X23" i="16" s="1"/>
  <c r="U13" i="17"/>
  <c r="L11" i="2"/>
  <c r="V21" i="16"/>
  <c r="V18" i="16"/>
  <c r="V12" i="21"/>
  <c r="X22" i="20"/>
  <c r="X9" i="17"/>
  <c r="X12" i="17"/>
  <c r="AA10" i="16"/>
  <c r="T20" i="11"/>
  <c r="S16" i="14"/>
  <c r="V16" i="14" s="1"/>
  <c r="T9" i="11"/>
  <c r="T29" i="11"/>
  <c r="T21" i="11"/>
  <c r="AM9" i="11"/>
  <c r="R25" i="14"/>
  <c r="R17" i="14"/>
  <c r="R10" i="14"/>
  <c r="S17" i="14"/>
  <c r="V17" i="14" s="1"/>
  <c r="S12" i="14"/>
  <c r="V12" i="14" s="1"/>
  <c r="V16" i="20"/>
  <c r="V23" i="20" s="1"/>
  <c r="V26"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P21" i="11"/>
  <c r="P29" i="11"/>
  <c r="D11" i="6"/>
  <c r="E11" i="3"/>
  <c r="BC26" i="8"/>
  <c r="BF26" i="8" s="1"/>
  <c r="R16" i="14"/>
  <c r="BH17" i="16"/>
  <c r="AO27" i="17"/>
  <c r="AM18" i="11"/>
  <c r="BI17" i="1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U26"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BP32" i="16"/>
  <c r="AX32" i="21"/>
  <c r="O12" i="11"/>
  <c r="H32" i="17"/>
  <c r="AW32" i="11"/>
  <c r="AV32" i="21"/>
  <c r="K32" i="20"/>
  <c r="U14" i="17" l="1"/>
  <c r="Q25" i="11"/>
  <c r="BV23" i="16"/>
  <c r="BV26" i="16" s="1"/>
  <c r="BV30" i="16" s="1"/>
  <c r="BK23" i="11"/>
  <c r="Q9" i="11"/>
  <c r="AQ17" i="11"/>
  <c r="S14" i="14"/>
  <c r="BI23" i="11"/>
  <c r="P9" i="11"/>
  <c r="BL23" i="11"/>
  <c r="Q21" i="11"/>
  <c r="Q17" i="11"/>
  <c r="BU33" i="17"/>
  <c r="BK14" i="11"/>
  <c r="BF23" i="11"/>
  <c r="P12" i="11"/>
  <c r="P23" i="17"/>
  <c r="P31" i="17" s="1"/>
  <c r="BV14" i="16"/>
  <c r="Q29" i="11"/>
  <c r="BH23" i="11"/>
  <c r="BW33" i="20"/>
  <c r="P25" i="11"/>
  <c r="Q23" i="17"/>
  <c r="Q31" i="17" s="1"/>
  <c r="AZ14" i="11"/>
  <c r="AZ31" i="11"/>
  <c r="BH14" i="11"/>
  <c r="Q12" i="11"/>
  <c r="R31" i="20"/>
  <c r="V31" i="20"/>
  <c r="P13" i="11"/>
  <c r="Q13"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<sst xmlns="http://schemas.openxmlformats.org/spreadsheetml/2006/main" count="2682" uniqueCount="1193">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</sst>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NysaNiPVOm2ROVQLPuxt1Qx24zR83k4zCjemR1+4ONXhwAoczSQfxNsRJNZBQt56VsUJaBUXd8yTnF34Axgdg==" saltValue="VPSvuo7jUN85Qzp+dmij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54</v>
      </c>
      <c r="E10" s="240">
        <f>IF(ISNUMBER(Datos!J10),Datos!J10," - ")</f>
        <v>81</v>
      </c>
      <c r="F10" s="240">
        <f>IF(ISNUMBER(Datos!K10),Datos!K10," - ")</f>
        <v>42</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1.3448275862068966</v>
      </c>
      <c r="L10" s="1402">
        <f>IF(ISNUMBER(NºAsuntos!I10/NºAsuntos!G10),(NºAsuntos!I10/NºAsuntos!G10)*11," - ")</f>
        <v>17.80952380952381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9.409041786743515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54</v>
      </c>
      <c r="E14" s="1408">
        <f>SUBTOTAL(9,E9:E13)</f>
        <v>81</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1674</v>
      </c>
      <c r="D17" s="239">
        <f>IF(ISNUMBER(IF(D_I="SI",Datos!I17,Datos!I17+Datos!AC17)),IF(D_I="SI",Datos!I17,Datos!I17+Datos!AC17)," - ")</f>
        <v>2012</v>
      </c>
      <c r="E17" s="240">
        <f>IF(ISNUMBER(IF(D_I="SI",Datos!J17,Datos!J17+Datos!AD17)),IF(D_I="SI",Datos!J17,Datos!J17+Datos!AD17)," - ")</f>
        <v>5678</v>
      </c>
      <c r="F17" s="240">
        <f>IF(ISNUMBER(IF(D_I="SI",Datos!K17,Datos!K17+Datos!AE17)),IF(D_I="SI",Datos!K17,Datos!K17+Datos!AE17)," - ")</f>
        <v>5331</v>
      </c>
      <c r="G17" s="1390" t="str">
        <f>IF(Datos!E17&lt;&gt;"",Datos!E17,Datos!D17)</f>
        <v>04</v>
      </c>
      <c r="H17" s="241">
        <f>IF(ISNUMBER(IF(D_I="SI",Datos!L17,Datos!L17+Datos!AF17)),IF(D_I="SI",Datos!L17,Datos!L17+Datos!AF17)," - ")</f>
        <v>2021</v>
      </c>
      <c r="I17" s="1400" t="str">
        <f>IF(ISNUMBER(Datos!AS17/Datos!BM17),Datos!AS17/Datos!BM17," - ")</f>
        <v xml:space="preserve"> - </v>
      </c>
      <c r="J17" s="1401">
        <f>IF(ISNUMBER(Datos!BY17/Datos!CN17),Datos!BY17/Datos!CN17," - ")</f>
        <v>0</v>
      </c>
      <c r="K17" s="244">
        <f t="shared" si="3"/>
        <v>0.2072879330943847</v>
      </c>
      <c r="L17" s="1402">
        <f>IF(ISNUMBER(NºAsuntos!I17/NºAsuntos!G17),(NºAsuntos!I17/NºAsuntos!G17)*11," - ")</f>
        <v>4.1701369349090225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190</v>
      </c>
      <c r="D18" s="239">
        <f>IF(ISNUMBER(IF(D_I="SI",Datos!I18,Datos!I18+Datos!AC18)),IF(D_I="SI",Datos!I18,Datos!I18+Datos!AC18)," - ")</f>
        <v>128</v>
      </c>
      <c r="E18" s="240">
        <f>IF(ISNUMBER(IF(D_I="SI",Datos!J18,Datos!J18+Datos!AD18)),IF(D_I="SI",Datos!J18,Datos!J18+Datos!AD18)," - ")</f>
        <v>471</v>
      </c>
      <c r="F18" s="240">
        <f>IF(ISNUMBER(IF(D_I="SI",Datos!K18,Datos!K18+Datos!AE18)),IF(D_I="SI",Datos!K18,Datos!K18+Datos!AE18)," - ")</f>
        <v>468</v>
      </c>
      <c r="G18" s="1390" t="str">
        <f>IF(Datos!E18&lt;&gt;"",Datos!E18,Datos!D18)</f>
        <v>37</v>
      </c>
      <c r="H18" s="241">
        <f>IF(ISNUMBER(IF(D_I="SI",Datos!L18,Datos!L18+Datos!AF18)),IF(D_I="SI",Datos!L18,Datos!L18+Datos!AF18)," - ")</f>
        <v>193</v>
      </c>
      <c r="I18" s="1400" t="str">
        <f>IF(ISNUMBER(Datos!AS18/Datos!BM18),Datos!AS18/Datos!BM18," - ")</f>
        <v xml:space="preserve"> - </v>
      </c>
      <c r="J18" s="1401" t="str">
        <f>IF(ISNUMBER((Datos!BY18+Datos!BZ18)/Datos!CN18),(Datos!BY18+Datos!BZ18)/Datos!CN18," - ")</f>
        <v xml:space="preserve"> - </v>
      </c>
      <c r="K18" s="244">
        <f t="shared" si="3"/>
        <v>1.5789473684210527E-2</v>
      </c>
      <c r="L18" s="1402">
        <f>IF(ISNUMBER(NºAsuntos!I18/NºAsuntos!G18),(NºAsuntos!I18/NºAsuntos!G18)*11," - ")</f>
        <v>4.5363247863247862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1864</v>
      </c>
      <c r="D23" s="1407">
        <f>SUBTOTAL(9,D16:D22)</f>
        <v>2140</v>
      </c>
      <c r="E23" s="1408">
        <f>SUBTOTAL(9,E16:E22)</f>
        <v>6149</v>
      </c>
      <c r="F23" s="1408">
        <f>SUBTOTAL(9,F16:F22)</f>
        <v>5799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1893</v>
      </c>
      <c r="D31" s="1435">
        <f>SUBTOTAL(9,D9:D30)</f>
        <v>2194</v>
      </c>
      <c r="E31" s="1436">
        <f>SUBTOTAL(9,E9:E30)</f>
        <v>6230</v>
      </c>
      <c r="F31" s="1436">
        <f>SUBTOTAL(9,F9:F30)</f>
        <v>5841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Za4BTkkE7koWvHNtP9pxLs0NhXPkO+Fgp3d/n/TZW+8cuteAz6SBHxyjtKnMZtn/v5RX0iAiYLhr2qiNuH57w==" saltValue="nMDxmv9j//L9yv4fS4JIo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ig7gv0CDV5+oBDFUnO4DGSPxCn3qZOhtjlqsCDKAa+8KinCNhK4Ipu094Jx+dqs6U6b0wG8Pr2oEtjTEqTnZQ==" saltValue="5gHGuUuRiAO9a7oGv07k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81</v>
      </c>
      <c r="K10" s="194">
        <v>42</v>
      </c>
      <c r="L10" s="194">
        <v>68</v>
      </c>
      <c r="M10" s="194">
        <v>15</v>
      </c>
      <c r="N10" s="194">
        <v>23</v>
      </c>
      <c r="O10" s="194">
        <v>10</v>
      </c>
      <c r="P10" s="194">
        <v>14</v>
      </c>
      <c r="Q10" s="194">
        <v>9</v>
      </c>
      <c r="R10" s="194">
        <v>55</v>
      </c>
      <c r="S10" s="194">
        <v>46</v>
      </c>
      <c r="T10" s="194">
        <v>54</v>
      </c>
      <c r="U10" s="194">
        <v>46</v>
      </c>
      <c r="V10" s="194">
        <v>54</v>
      </c>
      <c r="W10" s="194">
        <v>18</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54</v>
      </c>
      <c r="BA10" s="139">
        <f t="shared" si="0"/>
        <v>46</v>
      </c>
      <c r="BB10" s="139">
        <f t="shared" si="0"/>
        <v>54</v>
      </c>
      <c r="BC10" s="135">
        <f t="shared" si="0"/>
        <v>18</v>
      </c>
      <c r="BD10" s="136">
        <f>IF(ISNUMBER(BA10/AZ10),BA10/AZ10," - ")</f>
        <v>0.85185185185185186</v>
      </c>
      <c r="BE10" s="137">
        <f>IF(ISNUMBER(BB10/BA10),BB10/BA10, " - ")</f>
        <v>1.173913043478261</v>
      </c>
      <c r="BF10" s="137">
        <f>IF(ISNUMBER(BC10/BA10),BC10/BA10, " - ")</f>
        <v>0.39130434782608697</v>
      </c>
      <c r="BG10" s="209">
        <f>IF(ISNUMBER((AY10+AZ10)/BA10),(AY10+AZ10)/BA10," - ")</f>
        <v>2.1739130434782608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3790</v>
      </c>
      <c r="J12" s="196">
        <v>5718</v>
      </c>
      <c r="K12" s="196">
        <v>5069</v>
      </c>
      <c r="L12" s="196">
        <v>4656</v>
      </c>
      <c r="M12" s="196">
        <v>1291</v>
      </c>
      <c r="N12" s="196">
        <v>2172</v>
      </c>
      <c r="O12" s="194">
        <v>2505</v>
      </c>
      <c r="P12" s="196">
        <v>1210</v>
      </c>
      <c r="Q12" s="196">
        <v>1372</v>
      </c>
      <c r="R12" s="196">
        <v>7243</v>
      </c>
      <c r="S12" s="196">
        <v>3566</v>
      </c>
      <c r="T12" s="196">
        <v>4541</v>
      </c>
      <c r="U12" s="196">
        <v>4200</v>
      </c>
      <c r="V12" s="196">
        <v>3790</v>
      </c>
      <c r="W12" s="196">
        <v>1191</v>
      </c>
      <c r="X12" s="202">
        <v>1771</v>
      </c>
      <c r="Y12" s="204">
        <v>77</v>
      </c>
      <c r="Z12" s="194">
        <v>499</v>
      </c>
      <c r="AA12" s="194">
        <v>483</v>
      </c>
      <c r="AB12" s="194">
        <v>93</v>
      </c>
      <c r="AC12" s="196">
        <v>0</v>
      </c>
      <c r="AD12" s="196">
        <v>0</v>
      </c>
      <c r="AE12" s="196">
        <v>0</v>
      </c>
      <c r="AF12" s="202">
        <v>0</v>
      </c>
      <c r="AG12" s="215">
        <v>100</v>
      </c>
      <c r="AH12" s="196">
        <v>461</v>
      </c>
      <c r="AI12" s="196">
        <v>485</v>
      </c>
      <c r="AJ12" s="216">
        <v>77</v>
      </c>
      <c r="AK12" s="195">
        <v>0</v>
      </c>
      <c r="AL12" s="196">
        <v>0</v>
      </c>
      <c r="AM12" s="196">
        <v>0</v>
      </c>
      <c r="AN12" s="202">
        <v>0</v>
      </c>
      <c r="AO12" s="283">
        <v>6</v>
      </c>
      <c r="AP12" s="168">
        <v>6</v>
      </c>
      <c r="AQ12" s="168">
        <v>6</v>
      </c>
      <c r="AR12" s="167">
        <v>6</v>
      </c>
      <c r="AS12" s="381" t="s">
        <v>1075</v>
      </c>
      <c r="AT12" s="216"/>
      <c r="AU12" s="215"/>
      <c r="AV12" s="216"/>
      <c r="AW12" s="215"/>
      <c r="AX12" s="216"/>
      <c r="AY12" s="136">
        <f t="shared" si="1"/>
        <v>3666</v>
      </c>
      <c r="AZ12" s="137">
        <f t="shared" si="1"/>
        <v>5002</v>
      </c>
      <c r="BA12" s="137">
        <f t="shared" si="1"/>
        <v>4685</v>
      </c>
      <c r="BB12" s="137">
        <f t="shared" si="1"/>
        <v>3867</v>
      </c>
      <c r="BC12" s="135">
        <f>IF(ISNUMBER(X12),X12," - ")</f>
        <v>1771</v>
      </c>
      <c r="BD12" s="136">
        <f t="shared" si="2"/>
        <v>0.93662534986005597</v>
      </c>
      <c r="BE12" s="137">
        <f t="shared" si="3"/>
        <v>0.82540021344717185</v>
      </c>
      <c r="BF12" s="137">
        <f t="shared" si="4"/>
        <v>0.37801494130202773</v>
      </c>
      <c r="BG12" s="209">
        <f t="shared" si="5"/>
        <v>1.8501600853788687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3844</v>
      </c>
      <c r="J14" s="197">
        <f t="shared" si="7"/>
        <v>5799</v>
      </c>
      <c r="K14" s="197">
        <f t="shared" si="7"/>
        <v>5111</v>
      </c>
      <c r="L14" s="197">
        <f t="shared" si="7"/>
        <v>4724</v>
      </c>
      <c r="M14" s="197">
        <f t="shared" si="7"/>
        <v>1306</v>
      </c>
      <c r="N14" s="197">
        <f t="shared" si="7"/>
        <v>2195</v>
      </c>
      <c r="O14" s="197">
        <f t="shared" si="7"/>
        <v>2515</v>
      </c>
      <c r="P14" s="197">
        <f t="shared" si="7"/>
        <v>1224</v>
      </c>
      <c r="Q14" s="197">
        <f t="shared" si="7"/>
        <v>1381</v>
      </c>
      <c r="R14" s="197">
        <f t="shared" si="7"/>
        <v>7298</v>
      </c>
      <c r="S14" s="197">
        <f t="shared" si="7"/>
        <v>3612</v>
      </c>
      <c r="T14" s="197">
        <f t="shared" si="7"/>
        <v>4595</v>
      </c>
      <c r="U14" s="197">
        <f t="shared" si="7"/>
        <v>4246</v>
      </c>
      <c r="V14" s="197">
        <f t="shared" si="7"/>
        <v>3844</v>
      </c>
      <c r="W14" s="197">
        <f t="shared" si="7"/>
        <v>1209</v>
      </c>
      <c r="X14" s="197">
        <f t="shared" si="7"/>
        <v>1789</v>
      </c>
      <c r="Y14" s="197">
        <f t="shared" si="7"/>
        <v>77</v>
      </c>
      <c r="Z14" s="197">
        <f t="shared" si="7"/>
        <v>499</v>
      </c>
      <c r="AA14" s="197">
        <f t="shared" si="7"/>
        <v>483</v>
      </c>
      <c r="AB14" s="197">
        <f t="shared" si="7"/>
        <v>93</v>
      </c>
      <c r="AC14" s="197">
        <f t="shared" si="7"/>
        <v>0</v>
      </c>
      <c r="AD14" s="197">
        <f t="shared" si="7"/>
        <v>0</v>
      </c>
      <c r="AE14" s="197">
        <f t="shared" si="7"/>
        <v>0</v>
      </c>
      <c r="AF14" s="197">
        <f>SUBTOTAL(9,AF9:AF13)</f>
        <v>0</v>
      </c>
      <c r="AG14" s="197">
        <f t="shared" ref="AG14:AT14" si="8">SUBTOTAL(9,AG8:AG13)</f>
        <v>100</v>
      </c>
      <c r="AH14" s="197">
        <f t="shared" si="8"/>
        <v>461</v>
      </c>
      <c r="AI14" s="197">
        <f t="shared" si="8"/>
        <v>485</v>
      </c>
      <c r="AJ14" s="197">
        <f t="shared" si="8"/>
        <v>77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3712</v>
      </c>
      <c r="AZ14" s="197">
        <f>SUBTOTAL(9,AZ8:AZ13)</f>
        <v>5056</v>
      </c>
      <c r="BA14" s="197">
        <f>SUBTOTAL(9,BA8:BA13)</f>
        <v>4731</v>
      </c>
      <c r="BB14" s="197">
        <f>SUBTOTAL(9,BB8:BB13)</f>
        <v>3921</v>
      </c>
      <c r="BC14" s="197">
        <f>SUBTOTAL(9,BC8:BC13)</f>
        <v>1789</v>
      </c>
      <c r="BD14" s="219">
        <f>IF(ISNUMBER(BA14/AZ14),BA14/AZ14," - ")</f>
        <v>0.93571993670886078</v>
      </c>
      <c r="BE14" s="220">
        <f>IF(ISNUMBER(BB14/BA14),BB14/BA14, " - ")</f>
        <v>0.82878883956880156</v>
      </c>
      <c r="BF14" s="220">
        <f>IF(ISNUMBER(BC14/BA14),BC14/BA14, " - ")</f>
        <v>0.37814415556964703</v>
      </c>
      <c r="BG14" s="221">
        <f>IF(ISNUMBER((AY14+AZ14)/BA14),(AY14+AZ14)/BA14," - ")</f>
        <v>1.8533079687169731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2012</v>
      </c>
      <c r="J17" s="196">
        <v>5678</v>
      </c>
      <c r="K17" s="196">
        <v>5331</v>
      </c>
      <c r="L17" s="196">
        <v>2021</v>
      </c>
      <c r="M17" s="196">
        <v>983</v>
      </c>
      <c r="N17" s="196">
        <v>2975</v>
      </c>
      <c r="O17" s="194">
        <v>55</v>
      </c>
      <c r="P17" s="196">
        <v>224</v>
      </c>
      <c r="Q17" s="196">
        <v>167</v>
      </c>
      <c r="R17" s="196">
        <v>360</v>
      </c>
      <c r="S17" s="196">
        <v>1776</v>
      </c>
      <c r="T17" s="196">
        <v>5294</v>
      </c>
      <c r="U17" s="196">
        <v>4952</v>
      </c>
      <c r="V17" s="196">
        <v>2012</v>
      </c>
      <c r="W17" s="196">
        <v>918</v>
      </c>
      <c r="X17" s="202">
        <v>2473</v>
      </c>
      <c r="Y17" s="215">
        <v>0</v>
      </c>
      <c r="Z17" s="196">
        <v>0</v>
      </c>
      <c r="AA17" s="196">
        <v>0</v>
      </c>
      <c r="AB17" s="196">
        <v>0</v>
      </c>
      <c r="AC17" s="196">
        <v>27</v>
      </c>
      <c r="AD17" s="196">
        <v>144</v>
      </c>
      <c r="AE17" s="196">
        <v>169</v>
      </c>
      <c r="AF17" s="202">
        <v>2</v>
      </c>
      <c r="AG17" s="215">
        <v>0</v>
      </c>
      <c r="AH17" s="196">
        <v>0</v>
      </c>
      <c r="AI17" s="196">
        <v>0</v>
      </c>
      <c r="AJ17" s="216">
        <v>0</v>
      </c>
      <c r="AK17" s="195">
        <v>21</v>
      </c>
      <c r="AL17" s="196">
        <v>113</v>
      </c>
      <c r="AM17" s="196">
        <v>107</v>
      </c>
      <c r="AN17" s="202">
        <v>27</v>
      </c>
      <c r="AO17" s="283">
        <v>6</v>
      </c>
      <c r="AP17" s="168">
        <v>6</v>
      </c>
      <c r="AQ17" s="168">
        <v>6</v>
      </c>
      <c r="AR17" s="168">
        <v>6</v>
      </c>
      <c r="AS17" s="381" t="s">
        <v>650</v>
      </c>
      <c r="AT17" s="216"/>
      <c r="AU17" s="215"/>
      <c r="AV17" s="216"/>
      <c r="AW17" s="215"/>
      <c r="AX17" s="216"/>
      <c r="AY17" s="136">
        <f t="shared" si="10"/>
        <v>1776</v>
      </c>
      <c r="AZ17" s="137">
        <f t="shared" si="10"/>
        <v>5294</v>
      </c>
      <c r="BA17" s="137">
        <f t="shared" si="10"/>
        <v>4952</v>
      </c>
      <c r="BB17" s="137">
        <f t="shared" si="10"/>
        <v>2012</v>
      </c>
      <c r="BC17" s="135">
        <f>IF(ISNUMBER(W17),W17," - ")</f>
        <v>918</v>
      </c>
      <c r="BD17" s="136">
        <f t="shared" ref="BD17:BD22" si="12">IF(ISNUMBER(BA17/AZ17),BA17/AZ17," - ")</f>
        <v>0.93539856441254254</v>
      </c>
      <c r="BE17" s="137">
        <f t="shared" ref="BE17:BE22" si="13">IF(ISNUMBER(BB17/BA17),BB17/BA17, " - ")</f>
        <v>0.40630048465266561</v>
      </c>
      <c r="BF17" s="137">
        <f t="shared" ref="BF17:BF22" si="14">IF(ISNUMBER(BC17/BA17),BC17/BA17, " - ")</f>
        <v>0.18537964458804523</v>
      </c>
      <c r="BG17" s="209">
        <f t="shared" si="11"/>
        <v>1.4277059773828755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471</v>
      </c>
      <c r="K18" s="196">
        <v>468</v>
      </c>
      <c r="L18" s="196">
        <v>193</v>
      </c>
      <c r="M18" s="196">
        <v>35</v>
      </c>
      <c r="N18" s="196">
        <v>303</v>
      </c>
      <c r="O18" s="196">
        <v>0</v>
      </c>
      <c r="P18" s="196">
        <v>3</v>
      </c>
      <c r="Q18" s="196">
        <v>3</v>
      </c>
      <c r="R18" s="196">
        <v>4</v>
      </c>
      <c r="S18" s="196">
        <v>134</v>
      </c>
      <c r="T18" s="196">
        <v>473</v>
      </c>
      <c r="U18" s="196">
        <v>478</v>
      </c>
      <c r="V18" s="196">
        <v>128</v>
      </c>
      <c r="W18" s="196">
        <v>38</v>
      </c>
      <c r="X18" s="202">
        <v>347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473</v>
      </c>
      <c r="BA18" s="139">
        <f t="shared" si="15"/>
        <v>478</v>
      </c>
      <c r="BB18" s="139">
        <f t="shared" si="15"/>
        <v>128</v>
      </c>
      <c r="BC18" s="135">
        <f>IF(ISNUMBER(W18),W18," - ")</f>
        <v>38</v>
      </c>
      <c r="BD18" s="136">
        <f>IF(ISNUMBER(BA18/AZ18),BA18/AZ18," - ")</f>
        <v>1.0105708245243128</v>
      </c>
      <c r="BE18" s="137">
        <f>IF(ISNUMBER(BB18/BA18),BB18/BA18, " - ")</f>
        <v>0.26778242677824265</v>
      </c>
      <c r="BF18" s="137">
        <f>IF(ISNUMBER(BC18/BA18),BC18/BA18, " - ")</f>
        <v>7.9497907949790794E-2</v>
      </c>
      <c r="BG18" s="209">
        <f>IF(ISNUMBER((AY18+AZ18)/BA18),(AY18+AZ18)/BA18," - ")</f>
        <v>1.2698744769874477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2140</v>
      </c>
      <c r="J23" s="197">
        <f t="shared" si="21"/>
        <v>6149</v>
      </c>
      <c r="K23" s="197">
        <f t="shared" si="21"/>
        <v>5799</v>
      </c>
      <c r="L23" s="197">
        <f t="shared" si="21"/>
        <v>2214</v>
      </c>
      <c r="M23" s="197">
        <f t="shared" si="21"/>
        <v>1018</v>
      </c>
      <c r="N23" s="197">
        <f t="shared" si="21"/>
        <v>3278</v>
      </c>
      <c r="O23" s="197">
        <f t="shared" si="21"/>
        <v>55</v>
      </c>
      <c r="P23" s="197">
        <f t="shared" si="21"/>
        <v>227</v>
      </c>
      <c r="Q23" s="197">
        <f t="shared" si="21"/>
        <v>170</v>
      </c>
      <c r="R23" s="197">
        <f t="shared" si="21"/>
        <v>364</v>
      </c>
      <c r="S23" s="197">
        <f t="shared" si="21"/>
        <v>1910</v>
      </c>
      <c r="T23" s="197">
        <f t="shared" si="21"/>
        <v>5767</v>
      </c>
      <c r="U23" s="197">
        <f t="shared" si="21"/>
        <v>5430</v>
      </c>
      <c r="V23" s="197">
        <f t="shared" si="21"/>
        <v>2140</v>
      </c>
      <c r="W23" s="197">
        <f t="shared" si="21"/>
        <v>956</v>
      </c>
      <c r="X23" s="197">
        <f t="shared" si="21"/>
        <v>2820</v>
      </c>
      <c r="Y23" s="197">
        <f t="shared" si="21"/>
        <v>0</v>
      </c>
      <c r="Z23" s="197">
        <f t="shared" si="21"/>
        <v>0</v>
      </c>
      <c r="AA23" s="197">
        <f t="shared" si="21"/>
        <v>0</v>
      </c>
      <c r="AB23" s="197">
        <f t="shared" si="21"/>
        <v>0</v>
      </c>
      <c r="AC23" s="197">
        <f t="shared" si="21"/>
        <v>27</v>
      </c>
      <c r="AD23" s="197">
        <f t="shared" si="21"/>
        <v>144</v>
      </c>
      <c r="AE23" s="197">
        <f t="shared" si="21"/>
        <v>169</v>
      </c>
      <c r="AF23" s="197">
        <f t="shared" si="21"/>
        <v>2</v>
      </c>
      <c r="AG23" s="197">
        <f t="shared" si="21"/>
        <v>0</v>
      </c>
      <c r="AH23" s="197">
        <f t="shared" si="21"/>
        <v>0</v>
      </c>
      <c r="AI23" s="197">
        <f t="shared" si="21"/>
        <v>0</v>
      </c>
      <c r="AJ23" s="197">
        <f t="shared" si="21"/>
        <v>0</v>
      </c>
      <c r="AK23" s="197">
        <f t="shared" si="21"/>
        <v>21</v>
      </c>
      <c r="AL23" s="197">
        <f t="shared" si="21"/>
        <v>113</v>
      </c>
      <c r="AM23" s="197">
        <f t="shared" si="21"/>
        <v>107</v>
      </c>
      <c r="AN23" s="197">
        <f t="shared" si="21"/>
        <v>27</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1910</v>
      </c>
      <c r="AZ23" s="197">
        <f>SUBTOTAL(9,AZ15:AZ22)</f>
        <v>5767</v>
      </c>
      <c r="BA23" s="197">
        <f>SUBTOTAL(9,BA15:BA22)</f>
        <v>5430</v>
      </c>
      <c r="BB23" s="197">
        <f>SUBTOTAL(9,BB15:BB22)</f>
        <v>2140</v>
      </c>
      <c r="BC23" s="197">
        <f>SUBTOTAL(9,BC15:BC22)</f>
        <v>956</v>
      </c>
      <c r="BD23" s="219">
        <f>IF(ISNUMBER(BA23/AZ23),BA23/AZ23," - ")</f>
        <v>0.94156407144095722</v>
      </c>
      <c r="BE23" s="220">
        <f>IF(ISNUMBER(BB23/BA23),BB23/BA23, " - ")</f>
        <v>0.39410681399631675</v>
      </c>
      <c r="BF23" s="220">
        <f>IF(ISNUMBER(BC23/BA23),BC23/BA23, " - ")</f>
        <v>0.17605893186003682</v>
      </c>
      <c r="BG23" s="221">
        <f>IF(ISNUMBER((AY23+AZ23)/BA23),(AY23+AZ23)/BA23," - ")</f>
        <v>1.4138121546961326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5984</v>
      </c>
      <c r="J31" s="144">
        <f t="shared" si="36"/>
        <v>11948</v>
      </c>
      <c r="K31" s="144">
        <f t="shared" si="36"/>
        <v>10910</v>
      </c>
      <c r="L31" s="144">
        <f t="shared" si="36"/>
        <v>6938</v>
      </c>
      <c r="M31" s="144">
        <f t="shared" si="36"/>
        <v>2324</v>
      </c>
      <c r="N31" s="144">
        <f t="shared" si="36"/>
        <v>5473</v>
      </c>
      <c r="O31" s="144">
        <f t="shared" si="36"/>
        <v>2570</v>
      </c>
      <c r="P31" s="144">
        <f t="shared" si="36"/>
        <v>1451</v>
      </c>
      <c r="Q31" s="144">
        <f t="shared" si="36"/>
        <v>1551</v>
      </c>
      <c r="R31" s="144">
        <f t="shared" si="36"/>
        <v>7662</v>
      </c>
      <c r="S31" s="144">
        <f t="shared" si="36"/>
        <v>5522</v>
      </c>
      <c r="T31" s="144">
        <f t="shared" si="36"/>
        <v>10362</v>
      </c>
      <c r="U31" s="144">
        <f t="shared" si="36"/>
        <v>9676</v>
      </c>
      <c r="V31" s="144">
        <f t="shared" si="36"/>
        <v>5984</v>
      </c>
      <c r="W31" s="144">
        <f t="shared" si="36"/>
        <v>2165</v>
      </c>
      <c r="X31" s="144">
        <f t="shared" si="36"/>
        <v>4609</v>
      </c>
      <c r="Y31" s="144">
        <f t="shared" si="36"/>
        <v>77</v>
      </c>
      <c r="Z31" s="144">
        <f t="shared" si="36"/>
        <v>499</v>
      </c>
      <c r="AA31" s="144">
        <f t="shared" si="36"/>
        <v>483</v>
      </c>
      <c r="AB31" s="144">
        <f t="shared" si="36"/>
        <v>93</v>
      </c>
      <c r="AC31" s="144">
        <f t="shared" si="36"/>
        <v>27</v>
      </c>
      <c r="AD31" s="144">
        <f t="shared" si="36"/>
        <v>144</v>
      </c>
      <c r="AE31" s="144">
        <f t="shared" si="36"/>
        <v>169</v>
      </c>
      <c r="AF31" s="144">
        <f t="shared" si="36"/>
        <v>2</v>
      </c>
      <c r="AG31" s="144">
        <f t="shared" si="36"/>
        <v>100</v>
      </c>
      <c r="AH31" s="144">
        <f t="shared" si="36"/>
        <v>461</v>
      </c>
      <c r="AI31" s="144">
        <f t="shared" si="36"/>
        <v>485</v>
      </c>
      <c r="AJ31" s="144">
        <f t="shared" si="36"/>
        <v>77</v>
      </c>
      <c r="AK31" s="144">
        <f t="shared" si="36"/>
        <v>21</v>
      </c>
      <c r="AL31" s="144">
        <f t="shared" si="36"/>
        <v>113</v>
      </c>
      <c r="AM31" s="144">
        <f t="shared" si="36"/>
        <v>107</v>
      </c>
      <c r="AN31" s="224">
        <f t="shared" si="36"/>
        <v>27</v>
      </c>
      <c r="AO31" s="225">
        <v>7</v>
      </c>
      <c r="AP31" s="225">
        <v>6</v>
      </c>
      <c r="AQ31" s="225">
        <v>6</v>
      </c>
      <c r="AR31" s="225">
        <v>6</v>
      </c>
      <c r="AS31" s="166">
        <f t="shared" si="36"/>
        <v>0</v>
      </c>
      <c r="AT31" s="166">
        <f t="shared" si="36"/>
        <v>0</v>
      </c>
      <c r="AU31" s="225"/>
      <c r="AV31" s="226"/>
      <c r="AW31" s="225"/>
      <c r="AX31" s="226"/>
      <c r="AY31" s="143">
        <f>SUBTOTAL(9,AY9:AY30)</f>
        <v>5622</v>
      </c>
      <c r="AZ31" s="144">
        <f>SUBTOTAL(9,AZ9:AZ30)</f>
        <v>10823</v>
      </c>
      <c r="BA31" s="144">
        <f>SUBTOTAL(9,BA9:BA30)</f>
        <v>10161</v>
      </c>
      <c r="BB31" s="144">
        <f>SUBTOTAL(9,BB9:BB30)</f>
        <v>6061</v>
      </c>
      <c r="BC31" s="145">
        <f>SUBTOTAL(9,BC9:BC30)</f>
        <v>2745</v>
      </c>
      <c r="BD31" s="227">
        <f>IF(ISNUMBER(BA31/AZ31),BA31/AZ31," - ")</f>
        <v>0.9388339647047953</v>
      </c>
      <c r="BE31" s="224">
        <f>IF(ISNUMBER(BB31/BA31),BB31/BA31, " - ")</f>
        <v>0.59649640783387459</v>
      </c>
      <c r="BF31" s="224">
        <f>IF(ISNUMBER(BC31/BA31),BC31/BA31, " - ")</f>
        <v>0.27015057573073514</v>
      </c>
      <c r="BG31" s="145">
        <f>IF(ISNUMBER((AY31+AZ31)/BA31),(AY31+AZ31)/BA31," - ")</f>
        <v>1.6184430666273004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UuW4nzccFVOBpfWpp889K3iUD5rNHeQy2oazKLiourzUXgo1H/HnIMvadUIPTRG7MesFA04hOByeSz97xlhw==" saltValue="vmgosXZ124Jidcv93TE7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IWMroQw8aYL894BB/kiXQa9MNCItgT9VyrcjjaMMzjQd546AV8S/ObnLsvMyuEMakQALH0s7EpZcfZ4BcFDcQ==" saltValue="bSN1bcsJKxkXnQmKsiVm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VIC</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9</v>
      </c>
      <c r="AD10" s="549"/>
      <c r="AE10" s="563"/>
      <c r="AF10" s="551">
        <f>IF(ISNUMBER(Datos!L10),Datos!L10,"-")</f>
        <v>68</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23</v>
      </c>
      <c r="BE10" s="693" t="str">
        <f>IF(ISNUMBER(Datos!BW10),Datos!BW10," - ")</f>
        <v xml:space="preserve"> - </v>
      </c>
      <c r="BF10" s="762" t="str">
        <f>IF(ISNUMBER(Datos!BX10),Datos!BX10," - ")</f>
        <v xml:space="preserve"> - </v>
      </c>
      <c r="BG10" s="763">
        <f>IF(ISNUMBER(Datos!K10/Datos!J10),Datos!K10/Datos!J10," - ")</f>
        <v>0.51851851851851849</v>
      </c>
      <c r="BH10" s="764">
        <f>IF(ISNUMBER(((Datos!L10/Datos!K10)*11)/factor_trimestre),((Datos!L10/Datos!K10)*11)/factor_trimestre," - ")</f>
        <v>17.80952380952381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499</v>
      </c>
      <c r="O12" s="549"/>
      <c r="P12" s="549"/>
      <c r="Q12" s="547">
        <f>IF(ISNUMBER(Datos!P12),Datos!P12,0)</f>
        <v>1210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7243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1291</v>
      </c>
      <c r="BD12" s="693">
        <f>IF(ISNUMBER(Datos!N12),Datos!N12," - ")</f>
        <v>2172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0.89303522599324436</v>
      </c>
      <c r="BH12" s="764">
        <f>IF(ISNUMBER(((IF(J_V="SI",Datos!L12/Datos!K12,(Datos!L12+Datos!AB12)/(Datos!K12+Datos!AA12)))*11)/factor_trimestre),((IF(J_V="SI",Datos!L12/Datos!K12,(Datos!L12+Datos!AB12)/(Datos!K12+Datos!AA12)))*11)/factor_trimestre," - ")</f>
        <v>9.409041786743515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-2.1877110060769749E-2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29</v>
      </c>
      <c r="G14" s="1197">
        <f t="shared" si="1"/>
        <v>54</v>
      </c>
      <c r="H14" s="1198">
        <f t="shared" si="1"/>
        <v>0</v>
      </c>
      <c r="I14" s="1197">
        <f t="shared" si="1"/>
        <v>0</v>
      </c>
      <c r="J14" s="1164">
        <f t="shared" si="1"/>
        <v>0</v>
      </c>
      <c r="K14" s="1164">
        <f t="shared" si="1"/>
        <v>0</v>
      </c>
      <c r="L14" s="1198">
        <f t="shared" si="1"/>
        <v>0</v>
      </c>
      <c r="M14" s="1198">
        <f t="shared" si="1"/>
        <v>0</v>
      </c>
      <c r="N14" s="1198">
        <f t="shared" si="1"/>
        <v>499</v>
      </c>
      <c r="O14" s="1199">
        <f t="shared" si="1"/>
        <v>0</v>
      </c>
      <c r="P14" s="1199">
        <f t="shared" si="1"/>
        <v>0</v>
      </c>
      <c r="Q14" s="1198">
        <f t="shared" si="1"/>
        <v>1224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1381</v>
      </c>
      <c r="AD14" s="1198">
        <f t="shared" si="2"/>
        <v>0</v>
      </c>
      <c r="AE14" s="1198">
        <f t="shared" si="2"/>
        <v>0</v>
      </c>
      <c r="AF14" s="1198">
        <f t="shared" si="2"/>
        <v>68</v>
      </c>
      <c r="AG14" s="1198">
        <f t="shared" si="2"/>
        <v>0</v>
      </c>
      <c r="AH14" s="1198">
        <f t="shared" si="2"/>
        <v>93</v>
      </c>
      <c r="AI14" s="1198">
        <f t="shared" si="2"/>
        <v>0</v>
      </c>
      <c r="AJ14" s="1198">
        <f t="shared" si="2"/>
        <v>0</v>
      </c>
      <c r="AK14" s="1198">
        <f t="shared" si="2"/>
        <v>0</v>
      </c>
      <c r="AL14" s="1198">
        <f t="shared" si="2"/>
        <v>0</v>
      </c>
      <c r="AM14" s="1198">
        <f t="shared" si="2"/>
        <v>7298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1306</v>
      </c>
      <c r="BD14" s="1198">
        <f t="shared" si="2"/>
        <v>2195</v>
      </c>
      <c r="BE14" s="1198">
        <f t="shared" si="2"/>
        <v>0</v>
      </c>
      <c r="BF14" s="1198">
        <f t="shared" si="2"/>
        <v>0</v>
      </c>
      <c r="BG14" s="1198">
        <f>IF(ISNUMBER(Datos!K14/Datos!J14),Datos!K14/Datos!J14," - ")</f>
        <v>0.88135885497499566</v>
      </c>
      <c r="BH14" s="1202">
        <f>IF(ISNUMBER(((Datos!L14/Datos!K14)*11)/factor_trimestre),((Datos!L14/Datos!K14)*11)/factor_trimestre," - ")</f>
        <v>10.167090588925845</v>
      </c>
      <c r="BI14" s="1198">
        <f>IF(ISNUMBER('Resol  Asuntos'!D14/NºAsuntos!G14),'Resol  Asuntos'!D14/NºAsuntos!G14," - ")</f>
        <v>0.23346442617089738</v>
      </c>
      <c r="BJ14" s="1198" t="str">
        <f>IF(ISNUMBER(Datos!CI14/Datos!CJ14),Datos!CI14/Datos!CJ14," - ")</f>
        <v xml:space="preserve"> - </v>
      </c>
      <c r="BK14" s="1198">
        <f>SUBTOTAL(9,BK8:BK13)</f>
        <v>0</v>
      </c>
      <c r="BL14" s="1198">
        <f>IF(ISNUMBER((I14-AB14+L14)/(F14)),(I14-AB14+L14)/(F14)," - ")</f>
        <v>-1.4482758620689655</v>
      </c>
      <c r="BM14" s="1203">
        <f>SUBTOTAL(9,BM9:BM13)</f>
        <v>7.812288993923025E-2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1674</v>
      </c>
      <c r="G17" s="743">
        <f>IF(ISNUMBER(IF(D_I="SI",Datos!I17,Datos!I17+Datos!AC17)),IF(D_I="SI",Datos!I17,Datos!I17+Datos!AC17)," - ")</f>
        <v>2012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5331</v>
      </c>
      <c r="AC17" s="240">
        <f>IF(ISNUMBER(Datos!Q17),Datos!Q17," - ")</f>
        <v>167</v>
      </c>
      <c r="AD17" s="374"/>
      <c r="AE17" s="562"/>
      <c r="AF17" s="741">
        <f>IF(ISNUMBER(IF(D_I="SI",Datos!L17,Datos!L17+Datos!AF17)),IF(D_I="SI",Datos!L17,Datos!L17+Datos!AF17)," - ")</f>
        <v>2021</v>
      </c>
      <c r="AG17" s="374"/>
      <c r="AH17" s="374"/>
      <c r="AI17" s="374"/>
      <c r="AJ17" s="549"/>
      <c r="AK17" s="374"/>
      <c r="AL17" s="545"/>
      <c r="AM17" s="375">
        <f>IF(ISNUMBER(Datos!R17),Datos!R17," - ")</f>
        <v>360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983</v>
      </c>
      <c r="BD17" s="243">
        <f>IF(ISNUMBER(Datos!N17),Datos!N17," - ")</f>
        <v>2975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0.9388869320183163</v>
      </c>
      <c r="BH17" s="764">
        <f>IF(ISNUMBER(((IF(D_I="SI",Datos!L17/Datos!K17,(Datos!L17+Datos!AF17)/(Datos!K17+Datos!AE17)))*11)/factor_trimestre),((IF(D_I="SI",Datos!L17/Datos!K17,(Datos!L17+Datos!AF17)/(Datos!K17+Datos!AE17)))*11)/factor_trimestre," - ")</f>
        <v>4.1701369349090225</v>
      </c>
      <c r="BI17" s="266">
        <f>IF(ISNUMBER('Resol  Asuntos'!D17/NºAsuntos!G17),'Resol  Asuntos'!D17/NºAsuntos!G17," - ")</f>
        <v>0.18439317201275557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468</v>
      </c>
      <c r="AC18" s="547">
        <f>IF(ISNUMBER(Datos!Q18),Datos!Q18," - ")</f>
        <v>3</v>
      </c>
      <c r="AD18" s="549"/>
      <c r="AE18" s="562"/>
      <c r="AF18" s="551">
        <f>IF(ISNUMBER(Datos!L18),Datos!L18,"-")</f>
        <v>193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303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0.99363057324840764</v>
      </c>
      <c r="BH18" s="764">
        <f>IF(ISNUMBER(((IF(D_I="SI",Datos!L18/Datos!K18,(Datos!L18+Datos!AF18)/(Datos!K18+Datos!AE18)))*11)/factor_trimestre),((IF(D_I="SI",Datos!L18/Datos!K18,(Datos!L18+Datos!AF18)/(Datos!K18+Datos!AE18)))*11)/factor_trimestre," - ")</f>
        <v>4.5363247863247862</v>
      </c>
      <c r="BI18" s="763">
        <f>IF(ISNUMBER('Resol  Asuntos'!D18/NºAsuntos!G18),'Resol  Asuntos'!D18/NºAsuntos!G18," - ")</f>
        <v>7.4786324786324784E-2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1674</v>
      </c>
      <c r="G23" s="1197">
        <f>SUBTOTAL(9,G16:G22)</f>
        <v>2140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5799</v>
      </c>
      <c r="AC23" s="1198">
        <f t="shared" si="5"/>
        <v>170</v>
      </c>
      <c r="AD23" s="1198">
        <f t="shared" si="5"/>
        <v>0</v>
      </c>
      <c r="AE23" s="1198">
        <f t="shared" si="5"/>
        <v>0</v>
      </c>
      <c r="AF23" s="1198">
        <f t="shared" si="5"/>
        <v>2214</v>
      </c>
      <c r="AG23" s="1198">
        <f t="shared" si="5"/>
        <v>0</v>
      </c>
      <c r="AH23" s="1198">
        <f t="shared" si="5"/>
        <v>0</v>
      </c>
      <c r="AI23" s="1198">
        <f t="shared" si="5"/>
        <v>0</v>
      </c>
      <c r="AJ23" s="1198">
        <f t="shared" si="5"/>
        <v>0</v>
      </c>
      <c r="AK23" s="1198">
        <f t="shared" si="5"/>
        <v>0</v>
      </c>
      <c r="AL23" s="1198">
        <f t="shared" si="5"/>
        <v>0</v>
      </c>
      <c r="AM23" s="1198">
        <f t="shared" si="5"/>
        <v>364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1018</v>
      </c>
      <c r="BD23" s="1198">
        <f t="shared" si="5"/>
        <v>3278</v>
      </c>
      <c r="BE23" s="1198">
        <f t="shared" si="5"/>
        <v>0</v>
      </c>
      <c r="BF23" s="1198">
        <f t="shared" si="5"/>
        <v>0</v>
      </c>
      <c r="BG23" s="1198">
        <f>IF(ISNUMBER(Datos!K23/Datos!J23),Datos!K23/Datos!J23," - ")</f>
        <v>0.94308017563831514</v>
      </c>
      <c r="BH23" s="1202">
        <f>IF(ISNUMBER(((Datos!L23/Datos!K23)*11)/factor_trimestre),((Datos!L23/Datos!K23)*11)/factor_trimestre," - ")</f>
        <v>4.1996896016554581</v>
      </c>
      <c r="BI23" s="1198">
        <f>SUBTOTAL(9,BI16:BI22)</f>
        <v>0.25917949679908037</v>
      </c>
      <c r="BJ23" s="1198">
        <f>SUBTOTAL(9,BJ16:BJ22)</f>
        <v>0</v>
      </c>
      <c r="BK23" s="1198">
        <f>SUBTOTAL(9,BK16:BK22)</f>
        <v>0</v>
      </c>
      <c r="BL23" s="1198">
        <f>IF(ISNUMBER((I23-AB23+L23)/(F23)),(I23-AB23+L23)/(F23)," - ")</f>
        <v>-3.4641577060931898</v>
      </c>
      <c r="BM23" s="1205">
        <f>IF(ISNUMBER((Datos!P23-Datos!Q23)/(Datos!R23-Datos!P23+Datos!Q23)),(Datos!P23-Datos!Q23)/(Datos!R23-Datos!P23+Datos!Q23)," - ")</f>
        <v>0.18566775244299674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1703</v>
      </c>
      <c r="G31" s="1117">
        <f t="shared" si="18"/>
        <v>2194</v>
      </c>
      <c r="H31" s="1119">
        <f t="shared" si="18"/>
        <v>0</v>
      </c>
      <c r="I31" s="1117">
        <f t="shared" si="18"/>
        <v>0</v>
      </c>
      <c r="J31" s="1119">
        <f t="shared" si="18"/>
        <v>0</v>
      </c>
      <c r="K31" s="1119">
        <f t="shared" si="18"/>
        <v>0</v>
      </c>
      <c r="L31" s="1180">
        <f t="shared" si="18"/>
        <v>0</v>
      </c>
      <c r="M31" s="1180">
        <f t="shared" si="18"/>
        <v>0</v>
      </c>
      <c r="N31" s="1180">
        <f t="shared" si="18"/>
        <v>499</v>
      </c>
      <c r="O31" s="1180">
        <f t="shared" si="18"/>
        <v>0</v>
      </c>
      <c r="P31" s="1180">
        <f t="shared" si="18"/>
        <v>0</v>
      </c>
      <c r="Q31" s="1119">
        <f t="shared" si="18"/>
        <v>1451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5841</v>
      </c>
      <c r="AC31" s="1118">
        <f t="shared" si="19"/>
        <v>1551</v>
      </c>
      <c r="AD31" s="1118">
        <f t="shared" si="19"/>
        <v>0</v>
      </c>
      <c r="AE31" s="1118">
        <f t="shared" si="19"/>
        <v>0</v>
      </c>
      <c r="AF31" s="1125">
        <f t="shared" si="19"/>
        <v>2282</v>
      </c>
      <c r="AG31" s="1125">
        <f t="shared" si="19"/>
        <v>0</v>
      </c>
      <c r="AH31" s="1125">
        <f t="shared" si="19"/>
        <v>93</v>
      </c>
      <c r="AI31" s="1125">
        <f t="shared" si="19"/>
        <v>0</v>
      </c>
      <c r="AJ31" s="1118">
        <f t="shared" si="19"/>
        <v>0</v>
      </c>
      <c r="AK31" s="1125">
        <f t="shared" si="19"/>
        <v>0</v>
      </c>
      <c r="AL31" s="1125">
        <f t="shared" si="19"/>
        <v>0</v>
      </c>
      <c r="AM31" s="1125">
        <f t="shared" si="19"/>
        <v>7662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2324</v>
      </c>
      <c r="BD31" s="1117">
        <f t="shared" si="19"/>
        <v>5473</v>
      </c>
      <c r="BE31" s="1117">
        <f t="shared" si="19"/>
        <v>0</v>
      </c>
      <c r="BF31" s="1127">
        <f t="shared" si="19"/>
        <v>0</v>
      </c>
      <c r="BG31" s="1223">
        <f>IF(ISNUMBER(Datos!K31/Datos!J31),Datos!K31/Datos!J31," - ")</f>
        <v>0.91312353531971879</v>
      </c>
      <c r="BH31" s="1223">
        <f>IF(ISNUMBER(((Datos!L31/Datos!K31)*11)/factor_trimestre),((Datos!L31/Datos!K31)*11)/factor_trimestre," - ")</f>
        <v>6.9952337305224566</v>
      </c>
      <c r="BI31" s="1103">
        <f>IF(ISNUMBER(Datos!J31/Datos!I31),Datos!J31/Datos!I31," - ")</f>
        <v>1.9966577540106951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-3.4298297122724604</v>
      </c>
      <c r="BM31" s="1188">
        <f>IF(ISNUMBER((Datos!P31-Datos!Q31+R31)/(Datos!R31-Datos!P31+Datos!Q31-R31)),(Datos!P31-Datos!Q31+R31)/(Datos!R31-Datos!P31+Datos!Q31-R31)," - ")</f>
        <v>-1.2883277505797475E-2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857.06024681271185</v>
      </c>
      <c r="G33" s="674">
        <f>IF(ISNUMBER(STDEV(G8:G30)),STDEV(G8:G30),"-")</f>
        <v>991.57373714236508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2670.0475918711904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618.2801029584291</v>
      </c>
      <c r="BD33" s="673"/>
      <c r="BE33" s="673">
        <f>IF(ISNUMBER(STDEV(BE8:BE30)),STDEV(BE8:BE30),"-")</f>
        <v>0</v>
      </c>
      <c r="BF33" s="678">
        <f>IF(ISNUMBER(STDEV(BF8:BF30)),STDEV(BF8:BF30),"-")</f>
        <v>0</v>
      </c>
      <c r="BG33" s="1052">
        <f>IF(ISNUMBER(STDEV(BG8:BG30)),STDEV(BG8:BG30),"-")</f>
        <v>0.17270069597951845</v>
      </c>
      <c r="BH33" s="1058">
        <f>IF(ISNUMBER(STDEV(BH8:BH30)),STDEV(BH8:BH30),"-")</f>
        <v>5.3505195450835643</v>
      </c>
      <c r="BI33" s="273">
        <f>IF(ISNUMBER(STDEV(BI8:BI30)),STDEV(BI8:BI30),"-")</f>
        <v>8.1575879768454235E-2</v>
      </c>
      <c r="BJ33" s="244" t="str">
        <f>IF(ISNUMBER(BL33/BM33),BL33/BM33," - ")</f>
        <v xml:space="preserve"> - </v>
      </c>
      <c r="BK33" s="709"/>
      <c r="BL33" s="681">
        <f>IF(ISNUMBER(STDEV(BL8:BL30)),STDEV(BL8:BL30),"-")</f>
        <v>1.4254437219803713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hVIdn9ugFM1xTcdKFuIZVzyZbEA2nyAJL87bykUAHPucrGF8FqNeVJx0owApeNwNE3AqmtNtxBd8WSbUxzneQ==" saltValue="cKeHImfH5kJfpl4zTnfg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VIC</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9</v>
      </c>
      <c r="AA10" s="551">
        <f>IF(ISNUMBER(Datos!L10),Datos!L10,"-")</f>
        <v>68</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15</v>
      </c>
      <c r="AK10" s="693">
        <f>IF(ISNUMBER(Datos!N10),Datos!N10," - ")</f>
        <v>23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17.80952380952381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1372</v>
      </c>
      <c r="AA12" s="551" t="str">
        <f>IF(ISNUMBER(IF(J_V="SI",Datos!L12,Datos!L12+Datos!AB12)-IF(Monitorios="SI",Datos!CD12,0)),
                          IF(J_V="SI",Datos!L12,Datos!L12+Datos!AB12)-IF(Monitorios="SI",Datos!CD12,0),
                          " - ")</f>
        <v xml:space="preserve"> - </v>
      </c>
      <c r="AB12" s="549"/>
      <c r="AC12" s="549"/>
      <c r="AD12" s="563"/>
      <c r="AE12" s="563">
        <f>IF(ISNUMBER(Datos!R12),Datos!R12," - ")</f>
        <v>7243</v>
      </c>
      <c r="AF12" s="693" t="str">
        <f>IF(ISNUMBER(Datos!BV12),Datos!BV12," - ")</f>
        <v xml:space="preserve"> - </v>
      </c>
      <c r="AG12" s="552" t="str">
        <f>IF(ISNUMBER(Datos!DV12),Datos!DV12," - ")</f>
        <v xml:space="preserve"> - </v>
      </c>
      <c r="AH12" s="553"/>
      <c r="AI12" s="554"/>
      <c r="AJ12" s="552">
        <f>IF(ISNUMBER(Datos!M12),Datos!M12," - ")</f>
        <v>1291</v>
      </c>
      <c r="AK12" s="693">
        <f>IF(ISNUMBER(Datos!N12),Datos!N12," - ")</f>
        <v>2172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9.409041786743515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-2.1877110060769749E-2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29</v>
      </c>
      <c r="G14" s="1197">
        <f>SUBTOTAL(9,G8:G13)</f>
        <v>54</v>
      </c>
      <c r="H14" s="1211"/>
      <c r="I14" s="1197">
        <f t="shared" ref="I14:N14" si="1">SUBTOTAL(9,I8:I13)</f>
        <v>0</v>
      </c>
      <c r="J14" s="1164">
        <f t="shared" si="1"/>
        <v>0</v>
      </c>
      <c r="K14" s="1211">
        <f t="shared" si="1"/>
        <v>0</v>
      </c>
      <c r="L14" s="1211">
        <f t="shared" si="1"/>
        <v>0</v>
      </c>
      <c r="M14" s="1211">
        <f t="shared" si="1"/>
        <v>0</v>
      </c>
      <c r="N14" s="1211">
        <f t="shared" si="1"/>
        <v>1224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1381</v>
      </c>
      <c r="AA14" s="1199">
        <f t="shared" si="3"/>
        <v>68</v>
      </c>
      <c r="AB14" s="1199">
        <f t="shared" si="3"/>
        <v>0</v>
      </c>
      <c r="AC14" s="1199">
        <f t="shared" si="3"/>
        <v>0</v>
      </c>
      <c r="AD14" s="1199">
        <f t="shared" si="3"/>
        <v>0</v>
      </c>
      <c r="AE14" s="1199">
        <f t="shared" si="3"/>
        <v>7298</v>
      </c>
      <c r="AF14" s="1211">
        <f t="shared" si="3"/>
        <v>0</v>
      </c>
      <c r="AG14" s="1211">
        <f t="shared" si="3"/>
        <v>0</v>
      </c>
      <c r="AH14" s="1211">
        <f t="shared" si="3"/>
        <v>0</v>
      </c>
      <c r="AI14" s="1211">
        <f t="shared" si="3"/>
        <v>0</v>
      </c>
      <c r="AJ14" s="1211">
        <f t="shared" si="3"/>
        <v>1306</v>
      </c>
      <c r="AK14" s="1211">
        <f t="shared" si="3"/>
        <v>2195</v>
      </c>
      <c r="AL14" s="1211">
        <f t="shared" si="3"/>
        <v>0</v>
      </c>
      <c r="AM14" s="1211">
        <f t="shared" si="3"/>
        <v>0</v>
      </c>
      <c r="AN14" s="1211">
        <f t="shared" si="3"/>
        <v>0</v>
      </c>
      <c r="AO14" s="1203">
        <f>IF(ISNUMBER(((NºAsuntos!I14/NºAsuntos!G14)*11)/factor_trimestre),((NºAsuntos!I14/NºAsuntos!G14)*11)/factor_trimestre," - ")</f>
        <v>9.4721129781909177</v>
      </c>
      <c r="AP14" s="1213" t="str">
        <f>IF(ISNUMBER(Datos!CI14/Datos!CJ14),Datos!CI14/Datos!CJ14," - ")</f>
        <v xml:space="preserve"> - </v>
      </c>
      <c r="AQ14" s="1236">
        <f t="shared" ref="AQ14:AV14" si="4">SUBTOTAL(9,AQ9:AQ13)</f>
        <v>0</v>
      </c>
      <c r="AR14" s="1236">
        <f t="shared" si="4"/>
        <v>7.812288993923025E-2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1674</v>
      </c>
      <c r="G17" s="552">
        <f>IF(ISNUMBER(IF(D_I="SI",Datos!I17,Datos!I17+Datos!AC17)),IF(D_I="SI",Datos!I17,Datos!I17+Datos!AC17)," - ")</f>
        <v>2012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5331</v>
      </c>
      <c r="Z17" s="805">
        <f>IF(ISNUMBER(Datos!Q17),Datos!Q17," - ")</f>
        <v>167</v>
      </c>
      <c r="AA17" s="551">
        <f>IF(ISNUMBER(IF(D_I="SI",Datos!L17,Datos!L17+Datos!AF17)),IF(D_I="SI",Datos!L17,Datos!L17+Datos!AF17)," - ")</f>
        <v>2021</v>
      </c>
      <c r="AB17" s="549"/>
      <c r="AC17" s="549"/>
      <c r="AD17" s="563"/>
      <c r="AE17" s="563">
        <f>IF(ISNUMBER(Datos!R17),Datos!R17," - ")</f>
        <v>360</v>
      </c>
      <c r="AF17" s="693" t="str">
        <f>IF(ISNUMBER(Datos!BV17),Datos!BV17," - ")</f>
        <v xml:space="preserve"> - </v>
      </c>
      <c r="AG17" s="552"/>
      <c r="AH17" s="553"/>
      <c r="AI17" s="554"/>
      <c r="AJ17" s="552">
        <f>IF(ISNUMBER(Datos!M17),Datos!M17," - ")</f>
        <v>983</v>
      </c>
      <c r="AK17" s="693">
        <f>IF(ISNUMBER(Datos!N17),Datos!N17," - ")</f>
        <v>2975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4.1701369349090225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468</v>
      </c>
      <c r="Z18" s="805">
        <f>IF(ISNUMBER(Datos!Q18),Datos!Q18," - ")</f>
        <v>3</v>
      </c>
      <c r="AA18" s="551">
        <f>IF(ISNUMBER(Datos!L18),Datos!L18,"-")</f>
        <v>193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35</v>
      </c>
      <c r="AK18" s="693">
        <f>IF(ISNUMBER(Datos!N18),Datos!N18," - ")</f>
        <v>303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4.5363247863247862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1674</v>
      </c>
      <c r="G23" s="1197">
        <f>SUBTOTAL(9,G16:G22)</f>
        <v>2140</v>
      </c>
      <c r="H23" s="1240">
        <f>SUBTOTAL(9,H16:H22)</f>
        <v>0</v>
      </c>
      <c r="I23" s="1217">
        <f>SUBTOTAL(9,I16:I22)</f>
        <v>0</v>
      </c>
      <c r="J23" s="1164">
        <f>SUBTOTAL(9,J15:J22)</f>
        <v>0</v>
      </c>
      <c r="K23" s="1240">
        <f t="shared" ref="K23:S23" si="5">SUBTOTAL(9,K16:K22)</f>
        <v>0</v>
      </c>
      <c r="L23" s="1240">
        <f t="shared" si="5"/>
        <v>0</v>
      </c>
      <c r="M23" s="1240">
        <f t="shared" si="5"/>
        <v>0</v>
      </c>
      <c r="N23" s="1240">
        <f t="shared" si="5"/>
        <v>227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5799</v>
      </c>
      <c r="Z23" s="1240">
        <f t="shared" si="6"/>
        <v>170</v>
      </c>
      <c r="AA23" s="1240">
        <f t="shared" si="6"/>
        <v>2214</v>
      </c>
      <c r="AB23" s="1240">
        <f t="shared" si="6"/>
        <v>0</v>
      </c>
      <c r="AC23" s="1240">
        <f t="shared" si="6"/>
        <v>0</v>
      </c>
      <c r="AD23" s="1240">
        <f t="shared" si="6"/>
        <v>0</v>
      </c>
      <c r="AE23" s="1240">
        <f t="shared" si="6"/>
        <v>364</v>
      </c>
      <c r="AF23" s="1240">
        <f t="shared" si="6"/>
        <v>0</v>
      </c>
      <c r="AG23" s="1240">
        <f t="shared" si="6"/>
        <v>0</v>
      </c>
      <c r="AH23" s="1240">
        <f t="shared" si="6"/>
        <v>0</v>
      </c>
      <c r="AI23" s="1240">
        <f t="shared" si="6"/>
        <v>0</v>
      </c>
      <c r="AJ23" s="1240">
        <f t="shared" si="6"/>
        <v>1018</v>
      </c>
      <c r="AK23" s="1240">
        <f t="shared" si="6"/>
        <v>3278</v>
      </c>
      <c r="AL23" s="1240">
        <f t="shared" si="6"/>
        <v>0</v>
      </c>
      <c r="AM23" s="1240">
        <f t="shared" si="6"/>
        <v>0</v>
      </c>
      <c r="AN23" s="1240">
        <f t="shared" si="6"/>
        <v>0</v>
      </c>
      <c r="AO23" s="1242">
        <f>IF(ISNUMBER(((NºAsuntos!I23/NºAsuntos!G23)*11)/factor_trimestre),((NºAsuntos!I23/NºAsuntos!G23)*11)/factor_trimestre," - ")</f>
        <v>4.1996896016554581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1703</v>
      </c>
      <c r="G31" s="1117">
        <f t="shared" si="12"/>
        <v>2194</v>
      </c>
      <c r="H31" s="1118">
        <f t="shared" si="12"/>
        <v>0</v>
      </c>
      <c r="I31" s="1117">
        <f t="shared" si="12"/>
        <v>0</v>
      </c>
      <c r="J31" s="1119">
        <f t="shared" si="12"/>
        <v>0</v>
      </c>
      <c r="K31" s="1117">
        <f t="shared" si="12"/>
        <v>0</v>
      </c>
      <c r="L31" s="1120">
        <f t="shared" si="12"/>
        <v>0</v>
      </c>
      <c r="M31" s="1117">
        <f t="shared" si="12"/>
        <v>0</v>
      </c>
      <c r="N31" s="1118">
        <f t="shared" si="12"/>
        <v>1451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5841</v>
      </c>
      <c r="Z31" s="1124">
        <f t="shared" si="13"/>
        <v>1551</v>
      </c>
      <c r="AA31" s="1125">
        <f t="shared" si="13"/>
        <v>2282</v>
      </c>
      <c r="AB31" s="1125">
        <f t="shared" si="13"/>
        <v>0</v>
      </c>
      <c r="AC31" s="1125">
        <f t="shared" si="13"/>
        <v>0</v>
      </c>
      <c r="AD31" s="1126">
        <f t="shared" si="13"/>
        <v>0</v>
      </c>
      <c r="AE31" s="1126">
        <f t="shared" si="13"/>
        <v>7662</v>
      </c>
      <c r="AF31" s="1127">
        <f t="shared" si="13"/>
        <v>0</v>
      </c>
      <c r="AG31" s="1128">
        <f t="shared" si="13"/>
        <v>0</v>
      </c>
      <c r="AH31" s="1129">
        <f t="shared" si="13"/>
        <v>0</v>
      </c>
      <c r="AI31" s="1127">
        <f t="shared" si="13"/>
        <v>0</v>
      </c>
      <c r="AJ31" s="1117">
        <f t="shared" si="13"/>
        <v>2324</v>
      </c>
      <c r="AK31" s="1117">
        <f t="shared" si="13"/>
        <v>5473</v>
      </c>
      <c r="AL31" s="1117">
        <f t="shared" si="13"/>
        <v>0</v>
      </c>
      <c r="AM31" s="1130">
        <f t="shared" si="13"/>
        <v>0</v>
      </c>
      <c r="AN31" s="1120">
        <f>IF(ISNUMBER(Datos!K31/Datos!J31),Datos!K31/Datos!J31," - ")</f>
        <v>0.91312353531971879</v>
      </c>
      <c r="AO31" s="1120">
        <f>IF(ISNUMBER(FIND("06",Criterios!A8,1)),(IF(ISNUMBER(((Datos!R31/Datos!Q31)*11)/factor_trimestre),((Datos!R31/Datos!Q31)*11)/factor_trimestre," - ")),(IF(ISNUMBER(((Datos!L31/Datos!K31)*11)/factor_trimestre),((Datos!L31/Datos!K31)*11)/factor_trimestre," - ")))</f>
        <v>6.9952337305224566</v>
      </c>
      <c r="AP31" s="1131" t="str">
        <f>IF(ISNUMBER(Datos!CI31/Datos!CJ31),Datos!CI31/Datos!CJ31," - ")</f>
        <v xml:space="preserve"> - </v>
      </c>
      <c r="AQ31" s="1131">
        <f>IF(OR(ISNUMBER(FIND("01",Criterios!A8,1)),ISNUMBER(FIND("02",Criterios!A8,1)),ISNUMBER(FIND("03",Criterios!A8,1)),ISNUMBER(FIND("04",Criterios!A8,1))),(J31-Y31+K31)/(F31-K31),(I31-Y31+K31)/(F31-K31))</f>
        <v>-3.4298297122724604</v>
      </c>
      <c r="AR31" s="1131">
        <f>IF(ISNUMBER((Datos!P31-Datos!Q31+O31)/(Datos!R31-Datos!P31+Datos!Q31-O31)),(Datos!P31-Datos!Q31+O31)/(Datos!R31-Datos!P31+Datos!Q31-O31)," - ")</f>
        <v>-1.2883277505797475E-2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857.06024681271185</v>
      </c>
      <c r="G33" s="674">
        <f>IF(ISNUMBER(STDEV(G8:G30)),STDEV(G8:G30),"-")</f>
        <v>991.57373714236508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618.2801029584291</v>
      </c>
      <c r="AK33" s="276"/>
      <c r="AL33" s="276">
        <f>IF(ISNUMBER(STDEV(AL8:AL30)),STDEV(AL8:AL30),"-")</f>
        <v>0</v>
      </c>
      <c r="AM33" s="278">
        <f>IF(ISNUMBER(STDEV(AM8:AM30)),STDEV(AM8:AM30),"-")</f>
        <v>0</v>
      </c>
      <c r="AN33" s="660">
        <f>IF(ISNUMBER(STDEV(AN8:AN30)),STDEV(AN8:AN30),"-")</f>
        <v>0</v>
      </c>
      <c r="AO33" s="661">
        <f>IF(ISNUMBER(STDEV(AO8:AO30)),STDEV(AO8:AO30),"-")</f>
        <v>5.3115261711437816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kI49kL8eK4GbkLb9pzEeXd8sE9KQgyVGl9GV7TDWAeiqfUSq73UyginPuFyaGxlfDK7JdW+vVQ5Lpi1mHZVzg==" saltValue="ik0n1D+UXJtAAhNZ6c78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lZtsqsR/YYTVv5MXw/p+DUdBXkZUMXQpu+DRti6BWt7Y0r/WZIrq3sKucte9VVSZQKknP9g8JEzzFMtAaDlZw==" saltValue="JwBPksnNpWdtt4/XW8PV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kI9LO/MMygPs54VE34NRg14zvvLzJunkRHDV6Z6lVP/xe+YVDSYOeJC0/ZKRkKjv5r5pa49BpniMj/r82yUw==" saltValue="CUv7wGxTdzCA2GSZYX7e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VIC</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0.23346442617089738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0.16508427891126762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tE1WlzTiHJvxiE3W2GN1utWwp0zBtNXefeTXaioey46Ta8EYJKWYr/L3huGwY53EjkTYDCV+OIX7Xzzb20VnA==" saltValue="dM8iQKYLofylqWkQmc+T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9w56XC5fxYnJY44venzNvyBqKoTrIznscX0Nxv8OQWMf5hRRYFGsRWIHqudDwA6B/NZiWJ86x6yET3VVXMSqxA==" saltValue="JyojXrNZaRfzT8Schv79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VIC</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81</v>
      </c>
      <c r="F10" s="452">
        <f>IF(ISNUMBER(E10/B10),E10/B10," - ")</f>
        <v>81</v>
      </c>
      <c r="G10" s="451">
        <f>IF(ISNUMBER(Datos!K10),Datos!K10," - ")</f>
        <v>42</v>
      </c>
      <c r="H10" s="452">
        <f>IF(ISNUMBER(G10/B10),G10/B10," - ")</f>
        <v>42</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3867</v>
      </c>
      <c r="D12" s="452">
        <f>IF(ISNUMBER(C12/Datos!BH12),C12/Datos!BH12," - ")</f>
        <v>644.5</v>
      </c>
      <c r="E12" s="451">
        <f>IF(ISNUMBER(IF(J_V="SI",Datos!J12,Datos!J12+Datos!Z12)),IF(J_V="SI",Datos!J12,Datos!J12+Datos!Z12)," - ")</f>
        <v>6217</v>
      </c>
      <c r="F12" s="452">
        <f>IF(ISNUMBER(E12/B12),E12/B12," - ")</f>
        <v>1036.1666666666667</v>
      </c>
      <c r="G12" s="451">
        <f>IF(ISNUMBER(IF(J_V="SI",Datos!K12,Datos!K12+Datos!AA12)),IF(J_V="SI",Datos!K12,Datos!K12+Datos!AA12)," - ")</f>
        <v>5552</v>
      </c>
      <c r="H12" s="452">
        <f>IF(ISNUMBER(G12/B12),G12/B12," - ")</f>
        <v>925.33333333333337</v>
      </c>
      <c r="I12" s="451">
        <f>IF(ISNUMBER(IF(J_V="SI",Datos!L12,Datos!L12+Datos!AB12)),IF(J_V="SI",Datos!L12,Datos!L12+Datos!AB12)," - ")</f>
        <v>4749</v>
      </c>
      <c r="J12" s="452">
        <f>IF(ISNUMBER(I12/B12),I12/B12," - ")</f>
        <v>791.5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3921</v>
      </c>
      <c r="D14" s="1147" t="str">
        <f>IF(ISNUMBER(C14/Datos!BI14),C14/Datos!BI14," - ")</f>
        <v xml:space="preserve"> - </v>
      </c>
      <c r="E14" s="1146">
        <f>SUBTOTAL(9,E8:E13)</f>
        <v>6298</v>
      </c>
      <c r="F14" s="1147">
        <f>IF(ISNUMBER(E14/B14),E14/B14," - ")</f>
        <v>1049.6666666666667</v>
      </c>
      <c r="G14" s="1146">
        <f>SUBTOTAL(9,G8:G13)</f>
        <v>5594</v>
      </c>
      <c r="H14" s="1147">
        <f>IF(ISNUMBER(G14/B14),G14/B14," - ")</f>
        <v>932.33333333333337</v>
      </c>
      <c r="I14" s="1146">
        <f>SUBTOTAL(9,I8:I13)</f>
        <v>4817</v>
      </c>
      <c r="J14" s="1147">
        <f>IF(ISNUMBER(I14/B14),I14/B14," - ")</f>
        <v>802.83333333333337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2012</v>
      </c>
      <c r="D17" s="452">
        <f>IF(ISNUMBER(C17/Datos!BH17),C17/Datos!BH17," - ")</f>
        <v>335.33333333333331</v>
      </c>
      <c r="E17" s="451">
        <f>IF(ISNUMBER(IF(D_I="SI",Datos!J17,Datos!J17+Datos!AD17)),IF(D_I="SI",Datos!J17,Datos!J17+Datos!AD17)," - ")</f>
        <v>5678</v>
      </c>
      <c r="F17" s="452">
        <f>IF(ISNUMBER(E17/B17),E17/B17," - ")</f>
        <v>946.33333333333337</v>
      </c>
      <c r="G17" s="451">
        <f>IF(ISNUMBER(IF(D_I="SI",Datos!K17,Datos!K17+Datos!AE17)),IF(D_I="SI",Datos!K17,Datos!K17+Datos!AE17)," - ")</f>
        <v>5331</v>
      </c>
      <c r="H17" s="452">
        <f>IF(ISNUMBER(G17/B17),G17/B17," - ")</f>
        <v>888.5</v>
      </c>
      <c r="I17" s="451">
        <f>IF(ISNUMBER(IF(D_I="SI",Datos!L17,Datos!L17+Datos!AF17)),IF(D_I="SI",Datos!L17,Datos!L17+Datos!AF17)," - ")</f>
        <v>2021</v>
      </c>
      <c r="J17" s="452">
        <f>IF(ISNUMBER(I17/B17),I17/B17," - ")</f>
        <v>336.83333333333331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471</v>
      </c>
      <c r="F18" s="452">
        <f>IF(ISNUMBER(E18/B18),E18/B18," - ")</f>
        <v>471</v>
      </c>
      <c r="G18" s="451">
        <f>IF(ISNUMBER(IF(D_I="SI",Datos!K18,Datos!K18+Datos!AE18)),IF(D_I="SI",Datos!K18,Datos!K18+Datos!AE18)," - ")</f>
        <v>468</v>
      </c>
      <c r="H18" s="452">
        <f>IF(ISNUMBER(G18/B18),G18/B18," - ")</f>
        <v>468</v>
      </c>
      <c r="I18" s="451">
        <f>IF(ISNUMBER(IF(D_I="SI",Datos!L18,Datos!L18+Datos!AF18)),IF(D_I="SI",Datos!L18,Datos!L18+Datos!AF18)," - ")</f>
        <v>193</v>
      </c>
      <c r="J18" s="452">
        <f>IF(ISNUMBER(I18/B18),I18/B18," - ")</f>
        <v>193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2140</v>
      </c>
      <c r="D23" s="1147" t="str">
        <f>IF(ISNUMBER(C23/Datos!BI23),C23/Datos!BI23," - ")</f>
        <v xml:space="preserve"> - </v>
      </c>
      <c r="E23" s="1146">
        <f>SUBTOTAL(9,E15:E22)</f>
        <v>6149</v>
      </c>
      <c r="F23" s="1147">
        <f>IF(ISNUMBER(E23/B23),E23/B23," - ")</f>
        <v>1024.8333333333333</v>
      </c>
      <c r="G23" s="1146">
        <f>SUBTOTAL(9,G15:G22)</f>
        <v>5799</v>
      </c>
      <c r="H23" s="1147">
        <f>IF(ISNUMBER(G23/B23),G23/B23," - ")</f>
        <v>966.5</v>
      </c>
      <c r="I23" s="1146">
        <f>SUBTOTAL(9,I15:I22)</f>
        <v>2214</v>
      </c>
      <c r="J23" s="1147">
        <f>IF(ISNUMBER(I23/B23),I23/B23," - ")</f>
        <v>369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6061</v>
      </c>
      <c r="D31" s="1085" t="str">
        <f>IF(ISNUMBER(C31/Datos!BI31),C31/Datos!BI31," - ")</f>
        <v xml:space="preserve"> - </v>
      </c>
      <c r="E31" s="1084">
        <f>SUBTOTAL(9,E9:E30)</f>
        <v>12447</v>
      </c>
      <c r="F31" s="1085">
        <f>IF(ISNUMBER(E31/B31),E31/B31," - ")</f>
        <v>2074.5</v>
      </c>
      <c r="G31" s="1084">
        <f>SUBTOTAL(9,G9:G30)</f>
        <v>11393</v>
      </c>
      <c r="H31" s="1085">
        <f>IF(ISNUMBER(G31/B31),G31/B31," - ")</f>
        <v>1898.8333333333333</v>
      </c>
      <c r="I31" s="1084">
        <f>SUBTOTAL(9,I9:I30)</f>
        <v>7031</v>
      </c>
      <c r="J31" s="1085">
        <f>IF(ISNUMBER(I31/B31),I31/B31," - ")</f>
        <v>1171.8333333333333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ZjvX0XGLvHBrdm/00WJ+DHQsaETCGks94dN2tTW/8d8cpblWpuX5CoTI8gPXzurVKFNT8uhvGxCwIRTCtASgQ==" saltValue="vSQHSV4V98ILS25FQtiI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VIC</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23</v>
      </c>
      <c r="AN10" s="914">
        <f>IF(ISNUMBER(Datos!BW10+DatosP!BW18),Datos!BW10+DatosP!BW18," - ")</f>
        <v>0</v>
      </c>
      <c r="AO10" s="915">
        <f>IF(ISNUMBER(Datos!BX10+DatosP!BX18),Datos!BX10+DatosP!BX18," - ")</f>
        <v>0</v>
      </c>
      <c r="AP10" s="917">
        <f>IF(ISNUMBER(((Datos!L10/Datos!K10)*11)/factor_trimestre),((Datos!L10/Datos!K10)*11)/factor_trimestre," - ")</f>
        <v>17.80952380952381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1291</v>
      </c>
      <c r="AM12" s="914">
        <f>IF(ISNUMBER(Datos!N12+DatosP!N17),Datos!N12+DatosP!N17," - ")</f>
        <v>2172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9.409041786743515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-2.1877110060769749E-2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29</v>
      </c>
      <c r="G14" s="1256">
        <f t="shared" si="0"/>
        <v>54</v>
      </c>
      <c r="H14" s="1256">
        <f t="shared" si="0"/>
        <v>0</v>
      </c>
      <c r="I14" s="1258">
        <f t="shared" si="0"/>
        <v>0</v>
      </c>
      <c r="J14" s="1257">
        <f t="shared" si="0"/>
        <v>0</v>
      </c>
      <c r="K14" s="1257">
        <f t="shared" si="0"/>
        <v>0</v>
      </c>
      <c r="L14" s="1259">
        <f t="shared" si="0"/>
        <v>0</v>
      </c>
      <c r="M14" s="1259">
        <f t="shared" si="0"/>
        <v>0</v>
      </c>
      <c r="N14" s="1257">
        <f t="shared" si="0"/>
        <v>1224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1372</v>
      </c>
      <c r="AE14" s="1257">
        <f t="shared" si="1"/>
        <v>0</v>
      </c>
      <c r="AF14" s="1257">
        <f t="shared" si="1"/>
        <v>68</v>
      </c>
      <c r="AG14" s="1257">
        <f t="shared" si="1"/>
        <v>0</v>
      </c>
      <c r="AH14" s="1257">
        <f t="shared" si="1"/>
        <v>7243</v>
      </c>
      <c r="AI14" s="1257">
        <f t="shared" si="1"/>
        <v>0</v>
      </c>
      <c r="AJ14" s="1257">
        <f t="shared" si="1"/>
        <v>0</v>
      </c>
      <c r="AK14" s="1257">
        <f t="shared" si="1"/>
        <v>0</v>
      </c>
      <c r="AL14" s="1257">
        <f t="shared" si="1"/>
        <v>1306</v>
      </c>
      <c r="AM14" s="1257">
        <f t="shared" si="1"/>
        <v>2195</v>
      </c>
      <c r="AN14" s="1257">
        <f t="shared" si="1"/>
        <v>0</v>
      </c>
      <c r="AO14" s="1257">
        <f t="shared" si="1"/>
        <v>0</v>
      </c>
      <c r="AP14" s="1262">
        <f>IF(ISNUMBER(((Datos!L14/Datos!K14)*11)/factor_trimestre),((Datos!L14/Datos!K14)*11)/factor_trimestre," - ")</f>
        <v>10.167090588925845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-1.4482758620689655</v>
      </c>
      <c r="AU14" s="1257" t="str">
        <f>IF(ISNUMBER((DatosP!#REF!-DatosP!#REF!+DatosP!#REF!)/(DatosP!#REF!+DatosP!#REF!-DatosP!#REF!-DatosP!#REF!)),(DatosP!#REF!-DatosP!#REF!+DatosP!#REF!)/(DatosP!#REF!+DatosP!#REF!-DatosP!#REF!-DatosP!#REF!)," - ")</f>
        <v xml:space="preserve"> - </v>
      </c>
      <c r="AV14" s="1263">
        <f>SUBTOTAL(9,AV9:AV13)</f>
        <v>-2.1877110060769749E-2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4.1996896016554581</v>
      </c>
      <c r="AQ23" s="1262">
        <f>IF(ISNUMBER(((Datos!M23/Datos!L23)*11)/factor_trimestre),((Datos!M23/Datos!L23)*11)/factor_trimestre," - ")</f>
        <v>5.0578139114724481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0.18566775244299674</v>
      </c>
      <c r="AW23" s="1265">
        <f>IF(ISNUMBER((Datos!Q23-Datos!R23)/(Datos!S23-Datos!Q23+Datos!R23)),(Datos!Q23-Datos!R23)/(Datos!S23-Datos!Q23+Datos!R23)," - ")</f>
        <v>-9.2205323193916347E-2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29</v>
      </c>
      <c r="G31" s="1278">
        <f t="shared" si="8"/>
        <v>54</v>
      </c>
      <c r="H31" s="1278">
        <f t="shared" si="8"/>
        <v>0</v>
      </c>
      <c r="I31" s="1279">
        <f t="shared" si="8"/>
        <v>0</v>
      </c>
      <c r="J31" s="1280">
        <f t="shared" si="8"/>
        <v>0</v>
      </c>
      <c r="K31" s="1280">
        <f t="shared" si="8"/>
        <v>0</v>
      </c>
      <c r="L31" s="1280">
        <f t="shared" si="8"/>
        <v>0</v>
      </c>
      <c r="M31" s="1280">
        <f t="shared" si="8"/>
        <v>0</v>
      </c>
      <c r="N31" s="1279">
        <f t="shared" si="8"/>
        <v>1224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1372</v>
      </c>
      <c r="AE31" s="1284">
        <f t="shared" si="9"/>
        <v>0</v>
      </c>
      <c r="AF31" s="1285">
        <f t="shared" si="9"/>
        <v>68</v>
      </c>
      <c r="AG31" s="1285">
        <f t="shared" si="9"/>
        <v>0</v>
      </c>
      <c r="AH31" s="1285">
        <f t="shared" si="9"/>
        <v>7243</v>
      </c>
      <c r="AI31" s="1285">
        <f t="shared" si="9"/>
        <v>0</v>
      </c>
      <c r="AJ31" s="1286">
        <f t="shared" si="9"/>
        <v>0</v>
      </c>
      <c r="AK31" s="1286">
        <f t="shared" si="9"/>
        <v>0</v>
      </c>
      <c r="AL31" s="1278">
        <f t="shared" si="9"/>
        <v>1306</v>
      </c>
      <c r="AM31" s="1278">
        <f t="shared" si="9"/>
        <v>2195</v>
      </c>
      <c r="AN31" s="1278">
        <f t="shared" si="9"/>
        <v>0</v>
      </c>
      <c r="AO31" s="1278">
        <f t="shared" si="9"/>
        <v>0</v>
      </c>
      <c r="AP31" s="1278">
        <f>IF(ISNUMBER(((Datos!L31/Datos!K31)*11)/factor_trimestre),((Datos!L31/Datos!K31)*11)/factor_trimestre," - ")</f>
        <v>6.9952337305224566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-1.4482758620689655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-1.2883277505797475E-2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15.883954167649817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668.64808880805651</v>
      </c>
      <c r="AM33" s="1006"/>
      <c r="AN33" s="1006">
        <f>IF(ISNUMBER(STDEV(AN8:AN30)),STDEV(AN8:AN30),"-")</f>
        <v>0</v>
      </c>
      <c r="AO33" s="1012">
        <f>IF(ISNUMBER(STDEV(AO8:AO30)),STDEV(AO8:AO30),"-")</f>
        <v>0</v>
      </c>
      <c r="AP33" s="1065">
        <f>IF(ISNUMBER(STDEV(AP8:AP30)),STDEV(AP8:AP30),"-")</f>
        <v>5.6089536578407779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cQisd0db6ixOznPU6LrJFkq29mYm19eEKlK6TfoD5vWxbMheXZiZmSYqVebGIxTvkh2L8/93zXt/xjKM/TyzQ==" saltValue="tgyjGt1l3SRcyCQ3QufB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VIC</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dxIpjAsoulws2QfTb6iyfxx7Pj5EFtbvUosCNtx795rISp/XKKlsop8TJBzLMsj21ksedMUPIVuqdUul85tw==" saltValue="lSjFo4jYtRldLi1qp0xk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VIC</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23</v>
      </c>
      <c r="G10" s="452">
        <f>IF(ISNUMBER(F10/B10),F10/B10," - ")</f>
        <v>23</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1291</v>
      </c>
      <c r="E12" s="452">
        <f t="shared" si="0"/>
        <v>215.16666666666666</v>
      </c>
      <c r="F12" s="451">
        <f>IF(ISNUMBER(Datos!N12),Datos!N12," - ")</f>
        <v>2172</v>
      </c>
      <c r="G12" s="452">
        <f t="shared" si="1"/>
        <v>362</v>
      </c>
      <c r="H12" s="451">
        <f>IF(ISNUMBER(Datos!O12),Datos!O12," - ")</f>
        <v>2505</v>
      </c>
      <c r="I12" s="452">
        <f t="shared" si="2"/>
        <v>417.5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1306</v>
      </c>
      <c r="E14" s="1147">
        <f t="shared" si="0"/>
        <v>186.57142857142858</v>
      </c>
      <c r="F14" s="1146">
        <f>SUBTOTAL(9,F9:F13)</f>
        <v>2195</v>
      </c>
      <c r="G14" s="1147">
        <f t="shared" si="1"/>
        <v>313.57142857142856</v>
      </c>
      <c r="H14" s="1146">
        <f>SUBTOTAL(9,H9:H13)</f>
        <v>2515</v>
      </c>
      <c r="I14" s="1147">
        <f>IF(ISNUMBER(H14/B14),H14/B14," - ")</f>
        <v>359.28571428571428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983</v>
      </c>
      <c r="E17" s="452">
        <f t="shared" si="3"/>
        <v>163.83333333333334</v>
      </c>
      <c r="F17" s="451">
        <f>IF(ISNUMBER(Datos!N17),Datos!N17," - ")</f>
        <v>2975</v>
      </c>
      <c r="G17" s="452">
        <f t="shared" si="4"/>
        <v>495.83333333333331</v>
      </c>
      <c r="H17" s="451">
        <f>IF(ISNUMBER(Datos!O17),Datos!O17," - ")</f>
        <v>55</v>
      </c>
      <c r="I17" s="452">
        <f t="shared" si="5"/>
        <v>9.1666666666666661</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303</v>
      </c>
      <c r="G18" s="452">
        <f>IF(ISNUMBER(F18/B18),F18/B18," - ")</f>
        <v>303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1018</v>
      </c>
      <c r="E23" s="1147">
        <f t="shared" si="3"/>
        <v>145.42857142857142</v>
      </c>
      <c r="F23" s="1146">
        <f>SUBTOTAL(9,F16:F22)</f>
        <v>3278</v>
      </c>
      <c r="G23" s="1147">
        <f t="shared" si="4"/>
        <v>468.28571428571428</v>
      </c>
      <c r="H23" s="1146">
        <f>SUBTOTAL(9,H16:H22)</f>
        <v>55</v>
      </c>
      <c r="I23" s="1147">
        <f>IF(ISNUMBER(H23/B23),H23/B23," - ")</f>
        <v>7.8571428571428568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2324</v>
      </c>
      <c r="E31" s="1085">
        <f>IF(ISNUMBER(D31/B31),D31/B31," - ")</f>
        <v>387.33333333333331</v>
      </c>
      <c r="F31" s="1084">
        <f>SUBTOTAL(9,F8:F30)</f>
        <v>5473</v>
      </c>
      <c r="G31" s="1085">
        <f>IF(ISNUMBER(F31/B31),F31/B31," - ")</f>
        <v>912.16666666666663</v>
      </c>
      <c r="H31" s="1084">
        <f>SUBTOTAL(9,H8:H30)</f>
        <v>2570</v>
      </c>
      <c r="I31" s="1085">
        <f>IF(ISNUMBER(H31/B31),H31/B31," - ")</f>
        <v>428.33333333333331</v>
      </c>
    </row>
    <row r="34" spans="1:1">
      <c r="A34" s="439" t="str">
        <f>Criterios!A4</f>
        <v>Fecha Informe: 14 abr. 2023</v>
      </c>
    </row>
    <row r="39" spans="1:1">
      <c r="A39" s="462"/>
    </row>
  </sheetData>
  <sheetProtection algorithmName="SHA-512" hashValue="DrAVBsrigUgv7p+ptNZVB7Q2jSjkndv2LQ/6zZHHCPTHE19mhcEqNVkdyn1iq61LSULNuhkf63xrfkTaSs4twQ==" saltValue="97QCRZjM3j9YPeUs7TRK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VIC</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9</v>
      </c>
      <c r="D10" s="456">
        <f>IF(ISNUMBER(Datos!R10),Datos!R10," - ")</f>
        <v>55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1210</v>
      </c>
      <c r="C12" s="489">
        <f>IF(ISNUMBER(Datos!Q12),Datos!Q12," - ")</f>
        <v>1372</v>
      </c>
      <c r="D12" s="456">
        <f>IF(ISNUMBER(Datos!R12),Datos!R12," - ")</f>
        <v>7243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1224</v>
      </c>
      <c r="C14" s="1150">
        <f>SUBTOTAL(9,C9:C13)</f>
        <v>1381</v>
      </c>
      <c r="D14" s="1148">
        <f>SUBTOTAL(9,D9:D13)</f>
        <v>7298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224</v>
      </c>
      <c r="C17" s="489">
        <f>IF(ISNUMBER(Datos!Q17),Datos!Q17," - ")</f>
        <v>167</v>
      </c>
      <c r="D17" s="456">
        <f>IF(ISNUMBER(Datos!R17),Datos!R17," - ")</f>
        <v>360</v>
      </c>
    </row>
    <row r="18" spans="1:4">
      <c r="A18" s="450" t="str">
        <f>Datos!A18</f>
        <v>Jdos. Violencia contra la mujer</v>
      </c>
      <c r="B18" s="488">
        <f>IF(ISNUMBER(Datos!P18),Datos!P18," - ")</f>
        <v>3</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227</v>
      </c>
      <c r="C23" s="1150">
        <f>SUBTOTAL(9,C16:C22)</f>
        <v>170</v>
      </c>
      <c r="D23" s="1148">
        <f>SUBTOTAL(9,D16:D22)</f>
        <v>364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1451</v>
      </c>
      <c r="C31" s="1089">
        <f>SUBTOTAL(9,C8:C30)</f>
        <v>1551</v>
      </c>
      <c r="D31" s="1090">
        <f>SUBTOTAL(9,D8:D30)</f>
        <v>7662</v>
      </c>
    </row>
    <row r="32" spans="1:4" ht="7.5" customHeight="1"/>
    <row r="33" spans="1:1" ht="6" customHeight="1"/>
    <row r="34" spans="1:1">
      <c r="A34" s="439" t="str">
        <f>Criterios!A4</f>
        <v>Fecha Informe: 14 abr. 2023</v>
      </c>
    </row>
    <row r="39" spans="1:1">
      <c r="A39" s="462"/>
    </row>
  </sheetData>
  <sheetProtection algorithmName="SHA-512" hashValue="x7e3SeRSgsb+MiIpf/SAI10SMDAItXwlv2LRUDjQHQZeFdRj5r7tm6ykFH6QUM2GtLn963nb6IvDRAPGVD8oGg==" saltValue="YWMNxKGTOV/DClkPfEj0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VIC</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0.17391304347826086</v>
      </c>
      <c r="C10" s="515">
        <f>IF(ISNUMBER((Datos!J10-Datos!T10)/Datos!T10),(Datos!J10-Datos!T10)/Datos!T10," - ")</f>
        <v>0.5</v>
      </c>
      <c r="D10" s="515">
        <f>IF(ISNUMBER((Datos!K10-Datos!U10)/Datos!U10),(Datos!K10-Datos!U10)/Datos!U10," - ")</f>
        <v>-8.6956521739130432E-2</v>
      </c>
      <c r="E10" s="515">
        <f>IF(ISNUMBER((Datos!L10-Datos!V10)/Datos!V10),(Datos!L10-Datos!V10)/Datos!V10," - ")</f>
        <v>0.25925925925925924</v>
      </c>
      <c r="F10" s="515">
        <f>IF(ISNUMBER((Datos!M10-Datos!W10)/Datos!W10),(Datos!M10-Datos!W10)/Datos!W10," - ")</f>
        <v>-0.16666666666666666</v>
      </c>
      <c r="G10" s="516">
        <f>IF(ISNUMBER((Datos!N10-Datos!X10)/Datos!X10),(Datos!N10-Datos!X10)/Datos!X10," - ")</f>
        <v>0.27777777777777779</v>
      </c>
      <c r="H10" s="514">
        <f>IF(ISNUMBER(((NºAsuntos!G10/NºAsuntos!E10)-Datos!BD10)/Datos!BD10),((NºAsuntos!G10/NºAsuntos!E10)-Datos!BD10)/Datos!BD10," - ")</f>
        <v>-0.39130434782608697</v>
      </c>
      <c r="I10" s="515">
        <f>IF(ISNUMBER(((NºAsuntos!I10/NºAsuntos!G10)-Datos!BE10)/Datos!BE10),((NºAsuntos!I10/NºAsuntos!G10)-Datos!BE10)/Datos!BE10," - ")</f>
        <v>0.37918871252204572</v>
      </c>
      <c r="J10" s="521">
        <f>IF(ISNUMBER((('Resol  Asuntos'!D10/NºAsuntos!G10)-Datos!BF10)/Datos!BF10),(('Resol  Asuntos'!D10/NºAsuntos!G10)-Datos!BF10)/Datos!BF10," - ")</f>
        <v>-8.7301587301587324E-2</v>
      </c>
      <c r="K10" s="522">
        <f>IF(ISNUMBER((((NºAsuntos!C10+NºAsuntos!E10)/NºAsuntos!G10)-Datos!BG10)/Datos!BG10),(((NºAsuntos!C10+NºAsuntos!E10)/NºAsuntos!G10)-Datos!BG10)/Datos!BG10," - ")</f>
        <v>0.4785714285714287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5.4828150572831427E-2</v>
      </c>
      <c r="C12" s="515">
        <f>IF(ISNUMBER(
   IF(J_V="SI",(Datos!J12-Datos!T12)/Datos!T12,(Datos!J12+Datos!Z12-(Datos!T12+Datos!AH12))/(Datos!T12+Datos!AH12))
     ),IF(J_V="SI",(Datos!J12-Datos!T12)/Datos!T12,(Datos!J12+Datos!Z12-(Datos!T12+Datos!AH12))/(Datos!T12+Datos!AH12))," - ")</f>
        <v>0.24290283886445421</v>
      </c>
      <c r="D12" s="515">
        <f>IF(ISNUMBER(
   IF(J_V="SI",(Datos!K12-Datos!U12)/Datos!U12,(Datos!K12+Datos!AA12-(Datos!U12+Datos!AI12))/(Datos!U12+Datos!AI12))
     ),IF(J_V="SI",(Datos!K12-Datos!U12)/Datos!U12,(Datos!K12+Datos!AA12-(Datos!U12+Datos!AI12))/(Datos!U12+Datos!AI12))," - ")</f>
        <v>0.18505869797225186</v>
      </c>
      <c r="E12" s="515">
        <f>IF(ISNUMBER(
   IF(J_V="SI",(Datos!L12-Datos!V12)/Datos!V12,(Datos!L12+Datos!AB12-(Datos!V12+Datos!AJ12))/(Datos!V12+Datos!AJ12))
     ),IF(J_V="SI",(Datos!L12-Datos!V12)/Datos!V12,(Datos!L12+Datos!AB12-(Datos!V12+Datos!AJ12))/(Datos!V12+Datos!AJ12))," - ")</f>
        <v>0.22808378588052755</v>
      </c>
      <c r="F12" s="515">
        <f>IF(ISNUMBER((Datos!M12-Datos!W12)/Datos!W12),(Datos!M12-Datos!W12)/Datos!W12," - ")</f>
        <v>8.3963056255247692E-2</v>
      </c>
      <c r="G12" s="516">
        <f>IF(ISNUMBER((Datos!N12-Datos!X12)/Datos!X12),(Datos!N12-Datos!X12)/Datos!X12," - ")</f>
        <v>0.22642574816487859</v>
      </c>
      <c r="H12" s="514">
        <f>IF(ISNUMBER(((NºAsuntos!G12/NºAsuntos!E12)-Datos!BD12)/Datos!BD12),((NºAsuntos!G12/NºAsuntos!E12)-Datos!BD12)/Datos!BD12," - ")</f>
        <v>-4.6539551671673778E-2</v>
      </c>
      <c r="I12" s="515">
        <f>IF(ISNUMBER(((NºAsuntos!I12/NºAsuntos!G12)-Datos!BE12)/Datos!BE12),((NºAsuntos!I12/NºAsuntos!G12)-Datos!BE12)/Datos!BE12," - ")</f>
        <v>3.6306292660351472E-2</v>
      </c>
      <c r="J12" s="521">
        <f>IF(ISNUMBER((('Resol  Asuntos'!D12/NºAsuntos!G12)-Datos!BF12)/Datos!BF12),(('Resol  Asuntos'!D12/NºAsuntos!G12)-Datos!BF12)/Datos!BF12," - ")</f>
        <v>-0.38486871010207679</v>
      </c>
      <c r="K12" s="522">
        <f>IF(ISNUMBER((((NºAsuntos!C12+NºAsuntos!E12)/NºAsuntos!G12)-Datos!BG12)/Datos!BG12),(((NºAsuntos!C12+NºAsuntos!E12)/NºAsuntos!G12)-Datos!BG12)/Datos!BG12," - ")</f>
        <v>-1.8310666680851965E-2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5.6303879310344827E-2</v>
      </c>
      <c r="C14" s="1152">
        <f>IF(ISNUMBER(
   IF(J_V="SI",(Datos!J14-Datos!T14)/Datos!T14,(Datos!J14+Datos!Z14-(Datos!T14+Datos!AH14))/(Datos!T14+Datos!AH14))
     ),IF(J_V="SI",(Datos!J14-Datos!T14)/Datos!T14,(Datos!J14+Datos!Z14-(Datos!T14+Datos!AH14))/(Datos!T14+Datos!AH14))," - ")</f>
        <v>0.24564873417721519</v>
      </c>
      <c r="D14" s="1152">
        <f>IF(ISNUMBER(
   IF(J_V="SI",(Datos!K14-Datos!U14)/Datos!U14,(Datos!K14+Datos!AA14-(Datos!U14+Datos!AI14))/(Datos!U14+Datos!AI14))
     ),IF(J_V="SI",(Datos!K14-Datos!U14)/Datos!U14,(Datos!K14+Datos!AA14-(Datos!U14+Datos!AI14))/(Datos!U14+Datos!AI14))," - ")</f>
        <v>0.1824138659902769</v>
      </c>
      <c r="E14" s="1152">
        <f>IF(ISNUMBER(
   IF(J_V="SI",(Datos!L14-Datos!V14)/Datos!V14,(Datos!L14+Datos!AB14-(Datos!V14+Datos!AJ14))/(Datos!V14+Datos!AJ14))
     ),IF(J_V="SI",(Datos!L14-Datos!V14)/Datos!V14,(Datos!L14+Datos!AB14-(Datos!V14+Datos!AJ14))/(Datos!V14+Datos!AJ14))," - ")</f>
        <v>0.22851313440448864</v>
      </c>
      <c r="F14" s="1153">
        <f>IF(ISNUMBER((Datos!M14-Datos!W14)/Datos!W14),(Datos!M14-Datos!W14)/Datos!W14," - ")</f>
        <v>8.0231596360628613E-2</v>
      </c>
      <c r="G14" s="1154">
        <f>IF(ISNUMBER((Datos!N14-Datos!X14)/Datos!X14),(Datos!N14-Datos!X14)/Datos!X14," - ")</f>
        <v>0.22694242593627725</v>
      </c>
      <c r="H14" s="1154">
        <f>IF(ISNUMBER(((NºAsuntos!G14/NºAsuntos!E14)-Datos!BD14)/Datos!BD14),((NºAsuntos!G14/NºAsuntos!E14)-Datos!BD14)/Datos!BD14," - ")</f>
        <v>-5.0764606788370983E-2</v>
      </c>
      <c r="I14" s="1154">
        <f>IF(ISNUMBER(((NºAsuntos!I14/NºAsuntos!G14)-Datos!BE14)/Datos!BE14),((NºAsuntos!I14/NºAsuntos!G14)-Datos!BE14)/Datos!BE14," - ")</f>
        <v>3.898742203568737E-2</v>
      </c>
      <c r="J14" s="1154">
        <f>IF(ISNUMBER((('Resol  Asuntos'!D14/NºAsuntos!G14)-Datos!BF14)/Datos!BF14),(('Resol  Asuntos'!D14/NºAsuntos!G14)-Datos!BF14)/Datos!BF14," - ")</f>
        <v>-0.38260469524062857</v>
      </c>
      <c r="K14" s="1154">
        <f>IF(ISNUMBER((((NºAsuntos!C14+NºAsuntos!E14)/NºAsuntos!G14)-Datos!BG14)/Datos!BG14),(((NºAsuntos!C14+NºAsuntos!E14)/NºAsuntos!G14)-Datos!BG14)/Datos!BG14," - ")</f>
        <v>-1.4314554142994689E-2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0.13288288288288289</v>
      </c>
      <c r="C17" s="515">
        <f>IF(ISNUMBER(
   IF(D_I="SI",(Datos!J17-Datos!T17)/Datos!T17,(Datos!J17+Datos!AD17-(Datos!T17+Datos!AL17))/(Datos!T17+Datos!AL17))
     ),IF(D_I="SI",(Datos!J17-Datos!T17)/Datos!T17,(Datos!J17+Datos!AD17-(Datos!T17+Datos!AL17))/(Datos!T17+Datos!AL17))," - ")</f>
        <v>7.2534945221004912E-2</v>
      </c>
      <c r="D17" s="515">
        <f>IF(ISNUMBER(
   IF(D_I="SI",(Datos!K17-Datos!U17)/Datos!U17,(Datos!K17+Datos!AE17-(Datos!U17+Datos!AM17))/(Datos!U17+Datos!AM17))
     ),IF(D_I="SI",(Datos!K17-Datos!U17)/Datos!U17,(Datos!K17+Datos!AE17-(Datos!U17+Datos!AM17))/(Datos!U17+Datos!AM17))," - ")</f>
        <v>7.6534733441033925E-2</v>
      </c>
      <c r="E17" s="515">
        <f>IF(ISNUMBER(
   IF(D_I="SI",(Datos!L17-Datos!V17)/Datos!V17,(Datos!L17+Datos!AF17-(Datos!V17+Datos!AN17))/(Datos!V17+Datos!AN17))
     ),IF(D_I="SI",(Datos!L17-Datos!V17)/Datos!V17,(Datos!L17+Datos!AF17-(Datos!V17+Datos!AN17))/(Datos!V17+Datos!AN17))," - ")</f>
        <v>4.4731610337972166E-3</v>
      </c>
      <c r="F17" s="515">
        <f>IF(ISNUMBER((Datos!M17-Datos!W17)/Datos!W17),(Datos!M17-Datos!W17)/Datos!W17," - ")</f>
        <v>7.0806100217864917E-2</v>
      </c>
      <c r="G17" s="516">
        <f>IF(ISNUMBER((Datos!N17-Datos!X17)/Datos!X17),(Datos!N17-Datos!X17)/Datos!X17," - ")</f>
        <v>0.20299231702385767</v>
      </c>
      <c r="H17" s="514">
        <f>IF(ISNUMBER(((NºAsuntos!G17/NºAsuntos!E17)-Datos!BD17)/Datos!BD17),((NºAsuntos!G17/NºAsuntos!E17)-Datos!BD17)/Datos!BD17," - ")</f>
        <v>3.7292847546377761E-3</v>
      </c>
      <c r="I17" s="515">
        <f>IF(ISNUMBER(((NºAsuntos!I17/NºAsuntos!G17)-Datos!BE17)/Datos!BE17),((NºAsuntos!I17/NºAsuntos!G17)-Datos!BE17)/Datos!BE17," - ")</f>
        <v>-6.6938455554424403E-2</v>
      </c>
      <c r="J17" s="521">
        <f>IF(ISNUMBER((('Resol  Asuntos'!D17/NºAsuntos!G17)-Datos!BF17)/Datos!BF17),(('Resol  Asuntos'!D17/NºAsuntos!G17)-Datos!BF17)/Datos!BF17," - ")</f>
        <v>-5.3213640444819419E-3</v>
      </c>
      <c r="K17" s="522">
        <f>IF(ISNUMBER((((NºAsuntos!C17+NºAsuntos!E17)/NºAsuntos!G17)-Datos!BG17)/Datos!BG17),(((NºAsuntos!C17+NºAsuntos!E17)/NºAsuntos!G17)-Datos!BG17)/Datos!BG17," - ")</f>
        <v>1.0366363431101595E-2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-4.4776119402985072E-2</v>
      </c>
      <c r="C18" s="515">
        <f>IF(ISNUMBER(
   IF(D_I="SI",(Datos!J18-Datos!T18)/Datos!T18,(Datos!J18+Datos!AD18-(Datos!T18+Datos!AL18))/(Datos!T18+Datos!AL18))
     ),IF(D_I="SI",(Datos!J18-Datos!T18)/Datos!T18,(Datos!J18+Datos!AD18-(Datos!T18+Datos!AL18))/(Datos!T18+Datos!AL18))," - ")</f>
        <v>-4.2283298097251587E-3</v>
      </c>
      <c r="D18" s="515">
        <f>IF(ISNUMBER(
   IF(D_I="SI",(Datos!K18-Datos!U18)/Datos!U18,(Datos!K18+Datos!AE18-(Datos!U18+Datos!AM18))/(Datos!U18+Datos!AM18))
     ),IF(D_I="SI",(Datos!K18-Datos!U18)/Datos!U18,(Datos!K18+Datos!AE18-(Datos!U18+Datos!AM18))/(Datos!U18+Datos!AM18))," - ")</f>
        <v>-2.0920502092050208E-2</v>
      </c>
      <c r="E18" s="515">
        <f>IF(ISNUMBER(
   IF(D_I="SI",(Datos!L18-Datos!V18)/Datos!V18,(Datos!L18+Datos!AF18-(Datos!V18+Datos!AN18))/(Datos!V18+Datos!AN18))
     ),IF(D_I="SI",(Datos!L18-Datos!V18)/Datos!V18,(Datos!L18+Datos!AF18-(Datos!V18+Datos!AN18))/(Datos!V18+Datos!AN18))," - ")</f>
        <v>0.5078125</v>
      </c>
      <c r="F18" s="515">
        <f>IF(ISNUMBER((Datos!M18-Datos!W18)/Datos!W18),(Datos!M18-Datos!W18)/Datos!W18," - ")</f>
        <v>-7.8947368421052627E-2</v>
      </c>
      <c r="G18" s="516">
        <f>IF(ISNUMBER((Datos!N18-Datos!X18)/Datos!X18),(Datos!N18-Datos!X18)/Datos!X18," - ")</f>
        <v>-0.12680115273775217</v>
      </c>
      <c r="H18" s="514">
        <f>IF(ISNUMBER(((NºAsuntos!G18/NºAsuntos!E18)-Datos!BD18)/Datos!BD18),((NºAsuntos!G18/NºAsuntos!E18)-Datos!BD18)/Datos!BD18," - ")</f>
        <v>-1.6763051994776436E-2</v>
      </c>
      <c r="I18" s="515">
        <f>IF(ISNUMBER(((NºAsuntos!I18/NºAsuntos!G18)-Datos!BE18)/Datos!BE18),((NºAsuntos!I18/NºAsuntos!G18)-Datos!BE18)/Datos!BE18," - ")</f>
        <v>0.54003071581196582</v>
      </c>
      <c r="J18" s="521">
        <f>IF(ISNUMBER((('Resol  Asuntos'!D18/NºAsuntos!G18)-Datos!BF18)/Datos!BF18),(('Resol  Asuntos'!D18/NºAsuntos!G18)-Datos!BF18)/Datos!BF18," - ")</f>
        <v>-5.9266756635177706E-2</v>
      </c>
      <c r="K18" s="522">
        <f>IF(ISNUMBER((((NºAsuntos!C18+NºAsuntos!E18)/NºAsuntos!G18)-Datos!BG18)/Datos!BG18),(((NºAsuntos!C18+NºAsuntos!E18)/NºAsuntos!G18)-Datos!BG18)/Datos!BG18," - ")</f>
        <v>7.906334924456743E-3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0.12041884816753927</v>
      </c>
      <c r="C23" s="1152">
        <f>IF(ISNUMBER(
   IF(Criterios!B14="SI",(Datos!J23-Datos!T23)/Datos!T23,(Datos!J23+Datos!AD23-(Datos!T23+Datos!AL23))/(Datos!T23+Datos!AL23))
     ),IF(Criterios!B14="SI",(Datos!J23-Datos!T23)/Datos!T23,(Datos!J23+Datos!AD23-(Datos!T23+Datos!AL23))/(Datos!T23+Datos!AL23))," - ")</f>
        <v>6.6238945725680592E-2</v>
      </c>
      <c r="D23" s="1152">
        <f>IF(ISNUMBER(
   IF(Criterios!B14="SI",(Datos!K23-Datos!U23)/Datos!U23,(Datos!K23+Datos!AE23-(Datos!U23+Datos!AM23))/(Datos!U23+Datos!AM23))
     ),IF(Criterios!B14="SI",(Datos!K23-Datos!U23)/Datos!U23,(Datos!K23+Datos!AE23-(Datos!U23+Datos!AM23))/(Datos!U23+Datos!AM23))," - ")</f>
        <v>6.7955801104972374E-2</v>
      </c>
      <c r="E23" s="1152">
        <f>IF(ISNUMBER(
   IF(Criterios!B14="SI",(Datos!L23-Datos!V23)/Datos!V23,(Datos!L23+Datos!AF23-(Datos!V23+Datos!AN23))/(Datos!V23+Datos!AN23))
     ),IF(Criterios!B14="SI",(Datos!L23-Datos!V23)/Datos!V23,(Datos!L23+Datos!AF23-(Datos!V23+Datos!AN23))/(Datos!V23+Datos!AN23))," - ")</f>
        <v>3.4579439252336447E-2</v>
      </c>
      <c r="F23" s="1153">
        <f>IF(ISNUMBER((Datos!M23-Datos!W23)/Datos!W23),(Datos!M23-Datos!W23)/Datos!W23," - ")</f>
        <v>6.4853556485355651E-2</v>
      </c>
      <c r="G23" s="1154">
        <f>IF(ISNUMBER((Datos!N23-Datos!X23)/Datos!X23),(Datos!N23-Datos!X23)/Datos!X23," - ")</f>
        <v>0.16241134751773051</v>
      </c>
      <c r="H23" s="1154">
        <f>IF(ISNUMBER(((NºAsuntos!G23/NºAsuntos!E23)-Datos!BD23)/Datos!BD23),((NºAsuntos!G23/NºAsuntos!E23)-Datos!BD23)/Datos!BD23," - ")</f>
        <v>1.6101975886119997E-3</v>
      </c>
      <c r="I23" s="1154">
        <f>IF(ISNUMBER(((NºAsuntos!I23/NºAsuntos!G23)-Datos!BE23)/Datos!BE23),((NºAsuntos!I23/NºAsuntos!G23)-Datos!BE23)/Datos!BE23," - ")</f>
        <v>-3.1252568522126725E-2</v>
      </c>
      <c r="J23" s="1154">
        <f>IF(ISNUMBER((('Resol  Asuntos'!D23/NºAsuntos!G23)-Datos!BF23)/Datos!BF23),(('Resol  Asuntos'!D23/NºAsuntos!G23)-Datos!BF23)/Datos!BF23," - ")</f>
        <v>-2.904843642786393E-3</v>
      </c>
      <c r="K23" s="1154">
        <f>IF(ISNUMBER((((NºAsuntos!C23+NºAsuntos!E23)/NºAsuntos!G23)-Datos!BG23)/Datos!BG23),(((NºAsuntos!C23+NºAsuntos!E23)/NºAsuntos!G23)-Datos!BG23)/Datos!BG23," - ")</f>
        <v>1.1014350010219238E-2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7.8086090359302737E-2</v>
      </c>
      <c r="C31" s="1092">
        <f>IF(ISNUMBER(
   IF(J_V="SI",(Datos!J31-Datos!T31)/Datos!T31,(Datos!J31+Datos!Z31-(Datos!T31+Datos!AH31))/(Datos!T31+Datos!AH31))
     ),IF(J_V="SI",(Datos!J31-Datos!T31)/Datos!T31,(Datos!J31+Datos!Z31-(Datos!T31+Datos!AH31))/(Datos!T31+Datos!AH31))," - ")</f>
        <v>0.15005081770303982</v>
      </c>
      <c r="D31" s="1092">
        <f>IF(ISNUMBER(
   IF(J_V="SI",(Datos!K31-Datos!U31)/Datos!U31,(Datos!K31+Datos!AA31-(Datos!U31+Datos!AI31))/(Datos!U31+Datos!AI31))
     ),IF(J_V="SI",(Datos!K31-Datos!U31)/Datos!U31,(Datos!K31+Datos!AA31-(Datos!U31+Datos!AI31))/(Datos!U31+Datos!AI31))," - ")</f>
        <v>0.12124790867040645</v>
      </c>
      <c r="E31" s="1092">
        <f>IF(ISNUMBER(
   IF(J_V="SI",(Datos!L31-Datos!V31)/Datos!V31,(Datos!L31+Datos!AB31-(Datos!V31+Datos!AJ31))/(Datos!V31+Datos!AJ31))
     ),IF(J_V="SI",(Datos!L31-Datos!V31)/Datos!V31,(Datos!L31+Datos!AB31-(Datos!V31+Datos!AJ31))/(Datos!V31+Datos!AJ31))," - ")</f>
        <v>0.1600395974261673</v>
      </c>
      <c r="F31" s="1093">
        <f>IF(ISNUMBER((Datos!M31-Datos!W31)/Datos!W31),(Datos!M31-Datos!W31)/Datos!W31," - ")</f>
        <v>7.3441108545034647E-2</v>
      </c>
      <c r="G31" s="1094">
        <f>IF(ISNUMBER((Datos!N31-Datos!X31)/Datos!X31),(Datos!N31-Datos!X31)/Datos!X31," - ")</f>
        <v>0.18745931872423519</v>
      </c>
      <c r="H31" s="1095">
        <f>IF(ISNUMBER((Tasas!B31-Datos!BD31)/Datos!BD31),(Tasas!B31-Datos!BD31)/Datos!BD31," - ")</f>
        <v>-2.5044901137638836E-2</v>
      </c>
      <c r="I31" s="1096">
        <f>IF(ISNUMBER((Tasas!C31-Datos!BE31)/Datos!BE31),(Tasas!C31-Datos!BE31)/Datos!BE31," - ")</f>
        <v>3.4596888391756918E-2</v>
      </c>
      <c r="J31" s="1097">
        <f>IF(ISNUMBER((Tasas!D31-Datos!BF31)/Datos!BF31),(Tasas!D31-Datos!BF31)/Datos!BF31," - ")</f>
        <v>-0.24492145738035861</v>
      </c>
      <c r="K31" s="1097">
        <f>IF(ISNUMBER((Tasas!E31-Datos!BG31)/Datos!BG31),(Tasas!E31-Datos!BG31)/Datos!BG31," - ")</f>
        <v>3.7463221790745454E-3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d8vEIGb9bz3Ae06BdQSbEPNgxycZXE9zGSfwYdpuH04t1MqKxmBY/hxx2yR+gFW4CIToKRGdklxSaZLXYUMEg==" saltValue="T80jUO3FvyRrn0SNjDS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VIC</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0.51851851851851849</v>
      </c>
      <c r="C10" s="498">
        <f>IF(ISNUMBER(NºAsuntos!I10/NºAsuntos!G10),NºAsuntos!I10/NºAsuntos!G10," - ")</f>
        <v>1.6190476190476191</v>
      </c>
      <c r="D10" s="499">
        <f>IF(ISNUMBER('Resol  Asuntos'!D10/NºAsuntos!G10),'Resol  Asuntos'!D10/NºAsuntos!G10," - ")</f>
        <v>0.35714285714285715</v>
      </c>
      <c r="E10" s="500">
        <f>IF(ISNUMBER((NºAsuntos!C10+NºAsuntos!E10)/NºAsuntos!G10),(NºAsuntos!C10+NºAsuntos!E10)/NºAsuntos!G10," - ")</f>
        <v>3.2142857142857144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0.89303522599324436</v>
      </c>
      <c r="C12" s="498">
        <f>IF(ISNUMBER(NºAsuntos!I12/NºAsuntos!G12),NºAsuntos!I12/NºAsuntos!G12," - ")</f>
        <v>0.85536743515850144</v>
      </c>
      <c r="D12" s="499">
        <f>IF(ISNUMBER('Resol  Asuntos'!D12/NºAsuntos!G12),'Resol  Asuntos'!D12/NºAsuntos!G12," - ")</f>
        <v>0.23252881844380405</v>
      </c>
      <c r="E12" s="500">
        <f>IF(ISNUMBER((NºAsuntos!C12+NºAsuntos!E12)/NºAsuntos!G12),(NºAsuntos!C12+NºAsuntos!E12)/NºAsuntos!G12," - ")</f>
        <v>1.8162824207492796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0.88821848205779608</v>
      </c>
      <c r="C14" s="1156">
        <f>IF(ISNUMBER(NºAsuntos!I14/NºAsuntos!G14),NºAsuntos!I14/NºAsuntos!G14," - ")</f>
        <v>0.86110117983553802</v>
      </c>
      <c r="D14" s="1157">
        <f>IF(ISNUMBER('Resol  Asuntos'!D14/NºAsuntos!G14),'Resol  Asuntos'!D14/NºAsuntos!G14," - ")</f>
        <v>0.23346442617089738</v>
      </c>
      <c r="E14" s="1158">
        <f>IF(ISNUMBER((NºAsuntos!C14+NºAsuntos!E14)/NºAsuntos!G14),(NºAsuntos!C14+NºAsuntos!E14)/NºAsuntos!G14," - ")</f>
        <v>1.8267786914551305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0.9388869320183163</v>
      </c>
      <c r="C17" s="498">
        <f>IF(ISNUMBER(NºAsuntos!I17/NºAsuntos!G17),NºAsuntos!I17/NºAsuntos!G17," - ")</f>
        <v>0.37910335771900205</v>
      </c>
      <c r="D17" s="499">
        <f>IF(ISNUMBER('Resol  Asuntos'!D17/NºAsuntos!G17),'Resol  Asuntos'!D17/NºAsuntos!G17," - ")</f>
        <v>0.18439317201275557</v>
      </c>
      <c r="E17" s="500">
        <f>IF(ISNUMBER((NºAsuntos!C17+NºAsuntos!E17)/NºAsuntos!G17),(NºAsuntos!C17+NºAsuntos!E17)/NºAsuntos!G17," - ")</f>
        <v>1.4425060964171825</v>
      </c>
      <c r="G17" s="523"/>
    </row>
    <row r="18" spans="1:7">
      <c r="A18" s="450" t="str">
        <f>Datos!A18</f>
        <v>Jdos. Violencia contra la mujer</v>
      </c>
      <c r="B18" s="497">
        <f>IF(ISNUMBER(NºAsuntos!G18/NºAsuntos!E18),NºAsuntos!G18/NºAsuntos!E18," - ")</f>
        <v>0.99363057324840764</v>
      </c>
      <c r="C18" s="498">
        <f>IF(ISNUMBER(NºAsuntos!I18/NºAsuntos!G18),NºAsuntos!I18/NºAsuntos!G18," - ")</f>
        <v>0.41239316239316237</v>
      </c>
      <c r="D18" s="499">
        <f>IF(ISNUMBER('Resol  Asuntos'!D18/NºAsuntos!G18),'Resol  Asuntos'!D18/NºAsuntos!G18," - ")</f>
        <v>7.4786324786324784E-2</v>
      </c>
      <c r="E18" s="500">
        <f>IF(ISNUMBER((NºAsuntos!C18+NºAsuntos!E18)/NºAsuntos!G18),(NºAsuntos!C18+NºAsuntos!E18)/NºAsuntos!G18," - ")</f>
        <v>1.2799145299145298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0.94308017563831514</v>
      </c>
      <c r="C23" s="1156">
        <f>IF(ISNUMBER(NºAsuntos!I23/NºAsuntos!G23),NºAsuntos!I23/NºAsuntos!G23," - ")</f>
        <v>0.38178996378685981</v>
      </c>
      <c r="D23" s="1159">
        <f>IF(ISNUMBER('Resol  Asuntos'!D23/NºAsuntos!G23),'Resol  Asuntos'!D23/NºAsuntos!G23," - ")</f>
        <v>0.17554750819106743</v>
      </c>
      <c r="E23" s="1158">
        <f>IF(ISNUMBER((NºAsuntos!C23+NºAsuntos!E23)/NºAsuntos!G23),(NºAsuntos!C23+NºAsuntos!E23)/NºAsuntos!G23," - ")</f>
        <v>1.4293843766166581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0.91532096087410619</v>
      </c>
      <c r="C31" s="1099">
        <f>IF(ISNUMBER(NºAsuntos!I31/NºAsuntos!G31),NºAsuntos!I31/NºAsuntos!G31," - ")</f>
        <v>0.61713332748178706</v>
      </c>
      <c r="D31" s="1100">
        <f>IF(ISNUMBER('Resol  Asuntos'!D31/NºAsuntos!G31),'Resol  Asuntos'!D31/NºAsuntos!G31," - ")</f>
        <v>0.20398490301062056</v>
      </c>
      <c r="E31" s="1101">
        <f>IF(ISNUMBER((NºAsuntos!C31+NºAsuntos!E31)/NºAsuntos!G31),(NºAsuntos!C31+NºAsuntos!E31)/NºAsuntos!G31," - ")</f>
        <v>1.6245062757833757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oJ2hJ4I6fovFn4zeRHrY6vUVlKxdeLazwFfU+U0RHDxEmiq4PefnOZnqdqWcGBLcSvwsvBdVS3znj/g6yhwDg==" saltValue="sffRiB39tyQ7g/J9KYO/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VIC</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9</v>
      </c>
      <c r="Y10" s="374">
        <f t="shared" ref="Y10:Y13" si="0">SUM(W10:X10)</f>
        <v>51</v>
      </c>
      <c r="Z10" s="375" t="str">
        <f>IF(ISNUMBER(Datos!CC10),Datos!CC10," - ")</f>
        <v xml:space="preserve"> - </v>
      </c>
      <c r="AA10" s="372">
        <f>IF(ISNUMBER(Datos!L10),Datos!L10,"-")</f>
        <v>68</v>
      </c>
      <c r="AB10" s="374">
        <f>IF(ISNUMBER(Datos!R10),Datos!R10," - ")</f>
        <v>55</v>
      </c>
      <c r="AC10" s="374">
        <f t="shared" ref="AC10:AC13" si="1">IF(ISNUMBER(AA10+AB10),AA10+AB10," - ")</f>
        <v>123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0.51851851851851849</v>
      </c>
      <c r="AM10" s="284">
        <f>IF(ISNUMBER(((NºAsuntos!I10/NºAsuntos!G10)*11)/factor_trimestre),((NºAsuntos!I10/NºAsuntos!G10)*11)/factor_trimestre," - ")</f>
        <v>17.80952380952381</v>
      </c>
      <c r="AN10" s="267">
        <f>IF(ISNUMBER('Resol  Asuntos'!D10/NºAsuntos!G10),'Resol  Asuntos'!D10/NºAsuntos!G10," - ")</f>
        <v>0.35714285714285715</v>
      </c>
      <c r="AO10" s="268">
        <f>IF(ISNUMBER((NºAsuntos!C10+NºAsuntos!E10)/NºAsuntos!G10),(NºAsuntos!C10+NºAsuntos!E10)/NºAsuntos!G10," - ")</f>
        <v>3.2142857142857144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1372</v>
      </c>
      <c r="Y12" s="374">
        <f t="shared" si="0"/>
        <v>1372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1291</v>
      </c>
      <c r="AJ12" s="243" t="str">
        <f>IF(ISNUMBER(Datos!BW12),Datos!BW12," - ")</f>
        <v xml:space="preserve"> - </v>
      </c>
      <c r="AK12" s="242" t="str">
        <f>IF(ISNUMBER(Datos!BX12),Datos!BX12," - ")</f>
        <v xml:space="preserve"> - </v>
      </c>
      <c r="AL12" s="266">
        <f>IF(ISNUMBER(NºAsuntos!G12/NºAsuntos!E12),NºAsuntos!G12/NºAsuntos!E12," - ")</f>
        <v>0.89303522599324436</v>
      </c>
      <c r="AM12" s="284">
        <f>IF(ISNUMBER(((NºAsuntos!I12/NºAsuntos!G12)*11)/factor_trimestre),((NºAsuntos!I12/NºAsuntos!G12)*11)/factor_trimestre," - ")</f>
        <v>9.409041786743515</v>
      </c>
      <c r="AN12" s="267">
        <f>IF(ISNUMBER('Resol  Asuntos'!D12/NºAsuntos!G12),'Resol  Asuntos'!D12/NºAsuntos!G12," - ")</f>
        <v>0.23252881844380405</v>
      </c>
      <c r="AO12" s="268">
        <f>IF(ISNUMBER((NºAsuntos!C12+NºAsuntos!E12)/NºAsuntos!G12),(NºAsuntos!C12+NºAsuntos!E12)/NºAsuntos!G12," - ")</f>
        <v>1.8162824207492796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29</v>
      </c>
      <c r="G14" s="1163">
        <f t="shared" si="5"/>
        <v>54</v>
      </c>
      <c r="H14" s="1162">
        <f t="shared" si="5"/>
        <v>0</v>
      </c>
      <c r="I14" s="1164">
        <f t="shared" si="5"/>
        <v>0</v>
      </c>
      <c r="J14" s="1164">
        <f t="shared" si="5"/>
        <v>0</v>
      </c>
      <c r="K14" s="1164">
        <f t="shared" si="5"/>
        <v>0</v>
      </c>
      <c r="L14" s="1164">
        <f t="shared" si="5"/>
        <v>1224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1381</v>
      </c>
      <c r="Y14" s="1165">
        <f t="shared" si="6"/>
        <v>1423</v>
      </c>
      <c r="Z14" s="1165">
        <f t="shared" si="6"/>
        <v>0</v>
      </c>
      <c r="AA14" s="1165">
        <f t="shared" si="6"/>
        <v>68</v>
      </c>
      <c r="AB14" s="1165">
        <f t="shared" si="6"/>
        <v>7298</v>
      </c>
      <c r="AC14" s="1165">
        <f t="shared" si="6"/>
        <v>123</v>
      </c>
      <c r="AD14" s="1165">
        <f t="shared" si="6"/>
        <v>0</v>
      </c>
      <c r="AE14" s="1169">
        <f t="shared" si="6"/>
        <v>0</v>
      </c>
      <c r="AF14" s="1162">
        <f t="shared" si="6"/>
        <v>0</v>
      </c>
      <c r="AG14" s="1170">
        <f t="shared" si="6"/>
        <v>0</v>
      </c>
      <c r="AH14" s="1167">
        <f t="shared" si="6"/>
        <v>0</v>
      </c>
      <c r="AI14" s="1162">
        <f t="shared" si="6"/>
        <v>1306</v>
      </c>
      <c r="AJ14" s="1164">
        <f t="shared" si="6"/>
        <v>0</v>
      </c>
      <c r="AK14" s="1167">
        <f>SUBTOTAL(9,AK9:AK13)</f>
        <v>0</v>
      </c>
      <c r="AL14" s="1171">
        <f>IF(ISNUMBER(NºAsuntos!G14/NºAsuntos!E14),NºAsuntos!G14/NºAsuntos!E14," - ")</f>
        <v>0.88821848205779608</v>
      </c>
      <c r="AM14" s="1171">
        <f>IF(ISNUMBER(((NºAsuntos!I14/NºAsuntos!G14)*11)/factor_trimestre),((NºAsuntos!I14/NºAsuntos!G14)*11)/factor_trimestre," - ")</f>
        <v>9.4721129781909177</v>
      </c>
      <c r="AN14" s="1172">
        <f>IF(ISNUMBER('Resol  Asuntos'!D14/NºAsuntos!G14),'Resol  Asuntos'!D14/NºAsuntos!G14," - ")</f>
        <v>0.23346442617089738</v>
      </c>
      <c r="AO14" s="1173">
        <f>IF(ISNUMBER((NºAsuntos!C14+NºAsuntos!E14)/NºAsuntos!G14),(NºAsuntos!C14+NºAsuntos!E14)/NºAsuntos!G14," - ")</f>
        <v>1.8267786914551305</v>
      </c>
      <c r="AP14" s="1174" t="str">
        <f t="shared" si="2"/>
        <v xml:space="preserve"> - </v>
      </c>
      <c r="AQ14" s="1174">
        <f>IF(ISNUMBER((H14-W14+K14)/(F14)),(H14-W14+K14)/(F14)," - ")</f>
        <v>-1.4482758620689655</v>
      </c>
      <c r="AR14" s="1175">
        <f>IF(ISNUMBER((Datos!P14-Datos!Q14)/(Datos!R14-Datos!P14+Datos!Q14)),(Datos!P14-Datos!Q14)/(Datos!R14-Datos!P14+Datos!Q14)," - ")</f>
        <v>-2.1059691482226695E-2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1674</v>
      </c>
      <c r="G17" s="373">
        <f>IF(ISNUMBER(IF(D_I="SI",Datos!I17,Datos!I17+Datos!AC17)),IF(D_I="SI",Datos!I17,Datos!I17+Datos!AC17)," - ")</f>
        <v>2012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5331</v>
      </c>
      <c r="X17" s="240">
        <f>IF(ISNUMBER(Datos!Q17),Datos!Q17," - ")</f>
        <v>167</v>
      </c>
      <c r="Y17" s="374">
        <f t="shared" ref="Y17:Y22" si="9">SUM(W17:X17)</f>
        <v>5498</v>
      </c>
      <c r="Z17" s="375" t="str">
        <f>IF(ISNUMBER(Datos!CC17),Datos!CC17," - ")</f>
        <v xml:space="preserve"> - </v>
      </c>
      <c r="AA17" s="372">
        <f>IF(ISNUMBER(IF(D_I="SI",Datos!L17,Datos!L17+Datos!AF17)),IF(D_I="SI",Datos!L17,Datos!L17+Datos!AF17)," - ")</f>
        <v>2021</v>
      </c>
      <c r="AB17" s="374">
        <f>IF(ISNUMBER(Datos!R17),Datos!R17," - ")</f>
        <v>360</v>
      </c>
      <c r="AC17" s="374">
        <f t="shared" si="8"/>
        <v>2381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983</v>
      </c>
      <c r="AJ17" s="245" t="str">
        <f>IF(ISNUMBER(Datos!BW17),Datos!BW17," - ")</f>
        <v xml:space="preserve"> - </v>
      </c>
      <c r="AK17" s="246" t="str">
        <f>IF(ISNUMBER(Datos!BX17),Datos!BX17," - ")</f>
        <v xml:space="preserve"> - </v>
      </c>
      <c r="AL17" s="266">
        <f>IF(ISNUMBER(NºAsuntos!G17/NºAsuntos!E17),NºAsuntos!G17/NºAsuntos!E17," - ")</f>
        <v>0.9388869320183163</v>
      </c>
      <c r="AM17" s="284">
        <f>IF(ISNUMBER(((NºAsuntos!I17/NºAsuntos!G17)*11)/factor_trimestre),((NºAsuntos!I17/NºAsuntos!G17)*11)/factor_trimestre," - ")</f>
        <v>4.1701369349090225</v>
      </c>
      <c r="AN17" s="267">
        <f>IF(ISNUMBER('Resol  Asuntos'!D17/NºAsuntos!G17),'Resol  Asuntos'!D17/NºAsuntos!G17," - ")</f>
        <v>0.18439317201275557</v>
      </c>
      <c r="AO17" s="268">
        <f>IF(ISNUMBER((NºAsuntos!C17+NºAsuntos!E17)/NºAsuntos!G17),(NºAsuntos!C17+NºAsuntos!E17)/NºAsuntos!G17," - ")</f>
        <v>1.4425060964171825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468</v>
      </c>
      <c r="X18" s="240">
        <f>IF(ISNUMBER(Datos!Q18),Datos!Q18," - ")</f>
        <v>3</v>
      </c>
      <c r="Y18" s="374">
        <f t="shared" si="9"/>
        <v>471</v>
      </c>
      <c r="Z18" s="375" t="str">
        <f>IF(ISNUMBER(Datos!CC18),Datos!CC18," - ")</f>
        <v xml:space="preserve"> - </v>
      </c>
      <c r="AA18" s="372">
        <f>IF(ISNUMBER(Datos!L18),Datos!L18,"-")</f>
        <v>193</v>
      </c>
      <c r="AB18" s="374">
        <f>IF(ISNUMBER(Datos!R18),Datos!R18," - ")</f>
        <v>4</v>
      </c>
      <c r="AC18" s="374">
        <f t="shared" si="8"/>
        <v>197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0.99363057324840764</v>
      </c>
      <c r="AM18" s="284">
        <f>IF(ISNUMBER(((NºAsuntos!I18/NºAsuntos!G18)*11)/factor_trimestre),((NºAsuntos!I18/NºAsuntos!G18)*11)/factor_trimestre," - ")</f>
        <v>4.5363247863247862</v>
      </c>
      <c r="AN18" s="267">
        <f>IF(ISNUMBER('Resol  Asuntos'!D18/NºAsuntos!G18),'Resol  Asuntos'!D18/NºAsuntos!G18," - ")</f>
        <v>7.4786324786324784E-2</v>
      </c>
      <c r="AO18" s="268">
        <f>IF(ISNUMBER((NºAsuntos!C18+NºAsuntos!E18)/NºAsuntos!G18),(NºAsuntos!C18+NºAsuntos!E18)/NºAsuntos!G18," - ")</f>
        <v>1.2799145299145298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1674</v>
      </c>
      <c r="G23" s="1163">
        <f>SUBTOTAL(9,G16:G22)</f>
        <v>2140</v>
      </c>
      <c r="H23" s="1162">
        <f t="shared" ref="H23:O23" si="13">SUBTOTAL(9,H15:H22)</f>
        <v>0</v>
      </c>
      <c r="I23" s="1164">
        <f t="shared" si="13"/>
        <v>0</v>
      </c>
      <c r="J23" s="1164">
        <f t="shared" si="13"/>
        <v>0</v>
      </c>
      <c r="K23" s="1164">
        <f t="shared" si="13"/>
        <v>0</v>
      </c>
      <c r="L23" s="1164">
        <f t="shared" si="13"/>
        <v>227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5799</v>
      </c>
      <c r="X23" s="1164">
        <f t="shared" si="14"/>
        <v>170</v>
      </c>
      <c r="Y23" s="1165">
        <f t="shared" si="14"/>
        <v>5969</v>
      </c>
      <c r="Z23" s="1165">
        <f t="shared" si="14"/>
        <v>0</v>
      </c>
      <c r="AA23" s="1165">
        <f t="shared" si="14"/>
        <v>2214</v>
      </c>
      <c r="AB23" s="1165">
        <f t="shared" si="14"/>
        <v>364</v>
      </c>
      <c r="AC23" s="1165">
        <f t="shared" si="14"/>
        <v>2578</v>
      </c>
      <c r="AD23" s="1165">
        <f t="shared" si="14"/>
        <v>0</v>
      </c>
      <c r="AE23" s="1169">
        <f t="shared" si="14"/>
        <v>0</v>
      </c>
      <c r="AF23" s="1162">
        <f t="shared" si="14"/>
        <v>0</v>
      </c>
      <c r="AG23" s="1170">
        <f t="shared" si="14"/>
        <v>0</v>
      </c>
      <c r="AH23" s="1167">
        <f t="shared" si="14"/>
        <v>0</v>
      </c>
      <c r="AI23" s="1162">
        <f t="shared" si="14"/>
        <v>1018</v>
      </c>
      <c r="AJ23" s="1164">
        <f t="shared" si="14"/>
        <v>0</v>
      </c>
      <c r="AK23" s="1167">
        <f t="shared" si="14"/>
        <v>0</v>
      </c>
      <c r="AL23" s="1171">
        <f>IF(ISNUMBER(NºAsuntos!G23/NºAsuntos!E23),NºAsuntos!G23/NºAsuntos!E23," - ")</f>
        <v>0.94308017563831514</v>
      </c>
      <c r="AM23" s="1171">
        <f>IF(ISNUMBER(((NºAsuntos!I23/NºAsuntos!G23)*11)/factor_trimestre),((NºAsuntos!I23/NºAsuntos!G23)*11)/factor_trimestre," - ")</f>
        <v>4.1996896016554581</v>
      </c>
      <c r="AN23" s="1172">
        <f>IF(ISNUMBER('Resol  Asuntos'!D23/NºAsuntos!G23),'Resol  Asuntos'!D23/NºAsuntos!G23," - ")</f>
        <v>0.17554750819106743</v>
      </c>
      <c r="AO23" s="1173">
        <f>IF(ISNUMBER((NºAsuntos!C23+NºAsuntos!E23)/NºAsuntos!G23),(NºAsuntos!C23+NºAsuntos!E23)/NºAsuntos!G23," - ")</f>
        <v>1.4293843766166581</v>
      </c>
      <c r="AP23" s="1174" t="str">
        <f t="shared" si="2"/>
        <v xml:space="preserve"> - </v>
      </c>
      <c r="AQ23" s="1174">
        <f>IF(ISNUMBER((H23-W23+K23)/(F23)),(H23-W23+K23)/(F23)," - ")</f>
        <v>-3.4641577060931898</v>
      </c>
      <c r="AR23" s="1175">
        <f>IF(ISNUMBER((Datos!P23-Datos!Q23)/(Datos!R23-Datos!P23+Datos!Q23)),(Datos!P23-Datos!Q23)/(Datos!R23-Datos!P23+Datos!Q23)," - ")</f>
        <v>0.18566775244299674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1703</v>
      </c>
      <c r="G31" s="1118">
        <f t="shared" si="20"/>
        <v>2194</v>
      </c>
      <c r="H31" s="1117">
        <f t="shared" si="20"/>
        <v>0</v>
      </c>
      <c r="I31" s="1119">
        <f t="shared" si="20"/>
        <v>0</v>
      </c>
      <c r="J31" s="1119">
        <f t="shared" si="20"/>
        <v>0</v>
      </c>
      <c r="K31" s="1180">
        <f t="shared" si="20"/>
        <v>0</v>
      </c>
      <c r="L31" s="1119">
        <f t="shared" si="20"/>
        <v>1451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5841</v>
      </c>
      <c r="X31" s="1118">
        <f t="shared" si="21"/>
        <v>1551</v>
      </c>
      <c r="Y31" s="1125">
        <f t="shared" si="21"/>
        <v>7392</v>
      </c>
      <c r="Z31" s="1125">
        <f t="shared" si="21"/>
        <v>0</v>
      </c>
      <c r="AA31" s="1125">
        <f t="shared" si="21"/>
        <v>2282</v>
      </c>
      <c r="AB31" s="1125">
        <f t="shared" si="21"/>
        <v>7662</v>
      </c>
      <c r="AC31" s="1125">
        <f t="shared" si="21"/>
        <v>2701</v>
      </c>
      <c r="AD31" s="1125">
        <f t="shared" si="21"/>
        <v>0</v>
      </c>
      <c r="AE31" s="1127">
        <f t="shared" si="21"/>
        <v>0</v>
      </c>
      <c r="AF31" s="1128">
        <f t="shared" si="21"/>
        <v>0</v>
      </c>
      <c r="AG31" s="1129">
        <f t="shared" si="21"/>
        <v>0</v>
      </c>
      <c r="AH31" s="1127">
        <f t="shared" si="21"/>
        <v>0</v>
      </c>
      <c r="AI31" s="1117">
        <f t="shared" si="21"/>
        <v>2324</v>
      </c>
      <c r="AJ31" s="1117">
        <f t="shared" si="21"/>
        <v>0</v>
      </c>
      <c r="AK31" s="1127">
        <f t="shared" si="21"/>
        <v>0</v>
      </c>
      <c r="AL31" s="1183">
        <f>IF(ISNUMBER(NºAsuntos!G31/NºAsuntos!E31),NºAsuntos!G31/NºAsuntos!E31," - ")</f>
        <v>0.91532096087410619</v>
      </c>
      <c r="AM31" s="1184">
        <f>IF(ISNUMBER(((NºAsuntos!I31/NºAsuntos!G31)*11)/factor_trimestre),((NºAsuntos!I31/NºAsuntos!G31)*11)/factor_trimestre," - ")</f>
        <v>6.7884666022996578</v>
      </c>
      <c r="AN31" s="1184">
        <f>IF(ISNUMBER('Resol  Asuntos'!D31/NºAsuntos!G31),'Resol  Asuntos'!D31/NºAsuntos!G31," - ")</f>
        <v>0.20398490301062056</v>
      </c>
      <c r="AO31" s="1185">
        <f>IF(ISNUMBER((NºAsuntos!C31+NºAsuntos!E31)/NºAsuntos!G31),(NºAsuntos!C31+NºAsuntos!E31)/NºAsuntos!G31," - ")</f>
        <v>1.6245062757833757</v>
      </c>
      <c r="AP31" s="1186" t="str">
        <f t="shared" si="2"/>
        <v xml:space="preserve"> - </v>
      </c>
      <c r="AQ31" s="1187">
        <f>IF(OR(ISNUMBER(FIND("01",Criterios!A8,1)),ISNUMBER(FIND("02",Criterios!A8,1)),ISNUMBER(FIND("03",Criterios!A8,1)),ISNUMBER(FIND("04",Criterios!A8,1))),(I31-W31+K31)/(F31-K31),(H31-W31+K31)/(F31-K31))</f>
        <v>-3.4298297122724604</v>
      </c>
      <c r="AR31" s="1188">
        <f>IF(ISNUMBER((Datos!P31-Datos!Q31)/(Datos!R31-Datos!P31+Datos!Q31)),(Datos!P31-Datos!Q31)/(Datos!R31-Datos!P31+Datos!Q31)," - ")</f>
        <v>-1.2883277505797475E-2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857.06024681271185</v>
      </c>
      <c r="G33" s="277">
        <f>IF(ISNUMBER(STDEV(G8:G30)),STDEV(G8:G30),"-")</f>
        <v>991.57373714236508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2670.0475918711904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618.2801029584291</v>
      </c>
      <c r="AJ33" s="276">
        <f t="shared" si="25"/>
        <v>0</v>
      </c>
      <c r="AK33" s="278">
        <f t="shared" si="25"/>
        <v>0</v>
      </c>
      <c r="AL33" s="273">
        <f t="shared" si="25"/>
        <v>0.17288171243499489</v>
      </c>
      <c r="AM33" s="274">
        <f t="shared" si="25"/>
        <v>5.3115261711437816</v>
      </c>
      <c r="AN33" s="274">
        <f t="shared" si="25"/>
        <v>9.2556802136029126E-2</v>
      </c>
      <c r="AO33" s="275">
        <f t="shared" si="25"/>
        <v>0.71127241993533141</v>
      </c>
      <c r="AP33" s="317" t="str">
        <f t="shared" si="25"/>
        <v>-</v>
      </c>
      <c r="AQ33" s="318">
        <f t="shared" si="25"/>
        <v>1.4254437219803713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97pw5iSmVmAMZuVWR7ZFDhbI3ELyafkTcsk6QPXDTQB0DhzNNWUWmoH2IMwriSGBebEm4RebckGPFAnmtDDXQQ==" saltValue="5i9oxDsapA+PIN2RzSWb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VIC</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0.17391304347826086</v>
      </c>
      <c r="E10" s="393">
        <f>IF(ISNUMBER((Datos!J10-Datos!T10)/Datos!T10),(Datos!J10-Datos!T10)/Datos!T10," - ")</f>
        <v>0.5</v>
      </c>
      <c r="F10" s="393">
        <f>IF(ISNUMBER((Datos!K10-Datos!U10)/Datos!U10),(Datos!K10-Datos!U10)/Datos!U10," - ")</f>
        <v>-8.6956521739130432E-2</v>
      </c>
      <c r="G10" s="394">
        <f>IF(ISNUMBER((Datos!L10-Datos!V10)/Datos!V10),(Datos!L10-Datos!V10)/Datos!V10," - ")</f>
        <v>0.25925925925925924</v>
      </c>
      <c r="H10" s="244">
        <f>IF(ISNUMBER((Datos!M10-Datos!W10)/Datos!W10),(Datos!M10-Datos!W10)/Datos!W10," - ")</f>
        <v>-0.16666666666666666</v>
      </c>
      <c r="I10" s="395">
        <f>IF(ISNUMBER((Tasas!C10-Datos!BE10)/Datos!BE10),(Tasas!C10-Datos!BE10)/Datos!BE10," - ")</f>
        <v>0.37918871252204572</v>
      </c>
      <c r="J10" s="394">
        <f>IF(ISNUMBER((Tasas!D10-Datos!BF10)/Datos!BF10),(Tasas!D10-Datos!BF10)/Datos!BF10," - ")</f>
        <v>-8.7301587301587324E-2</v>
      </c>
      <c r="K10" s="396">
        <f>IF(ISNUMBER((Tasas!E10-Datos!BG10)/Datos!BG10),(Tasas!E10-Datos!BG10)/Datos!BG10," - ")</f>
        <v>0.4785714285714287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8.3963056255247692E-2</v>
      </c>
      <c r="I12" s="395">
        <f>IF(ISNUMBER((Tasas!C12-Datos!BE12)/Datos!BE12),(Tasas!C12-Datos!BE12)/Datos!BE12," - ")</f>
        <v>3.6306292660351472E-2</v>
      </c>
      <c r="J12" s="394">
        <f>IF(ISNUMBER((Tasas!D12-Datos!BF12)/Datos!BF12),(Tasas!D12-Datos!BF12)/Datos!BF12," - ")</f>
        <v>-0.38486871010207679</v>
      </c>
      <c r="K12" s="396">
        <f>IF(ISNUMBER((Tasas!E12-Datos!BG12)/Datos!BG12),(Tasas!E12-Datos!BG12)/Datos!BG12," - ")</f>
        <v>-1.8310666680851965E-2</v>
      </c>
      <c r="M12" t="e">
        <f>IF(Monitorios="SI",Datos!CE12,0)</f>
        <v>#REF!</v>
      </c>
      <c r="N12" t="e">
        <f>IF(Monitorios="SI",Datos!CF12,0)</f>
        <v>#REF!</v>
      </c>
      <c r="O12" t="e">
        <f>IF(Monitorios="SI",Datos!CG12,0)</f>
        <v>#REF!</v>
      </c>
      <c r="P12" t="e">
        <f>IF(Monitorios="SI",Datos!CH12,0)</f>
        <v>#REF!</v>
      </c>
      <c r="Q12">
        <f>IF(J_V="SI",0,Datos!AG12)</f>
        <v>100</v>
      </c>
      <c r="R12">
        <f>IF(J_V="SI",0,Datos!AH12)</f>
        <v>461</v>
      </c>
      <c r="S12">
        <f>IF(J_V="SI",0,Datos!AI12)</f>
        <v>485</v>
      </c>
      <c r="T12">
        <f>IF(J_V="SI",0,Datos!AJ12)</f>
        <v>77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8.0231596360628613E-2</v>
      </c>
      <c r="I14" s="402">
        <f>IF(ISNUMBER((Tasas!C14-Datos!BE14)/Datos!BE14),(Tasas!C14-Datos!BE14)/Datos!BE14," - ")</f>
        <v>3.898742203568737E-2</v>
      </c>
      <c r="J14" s="400">
        <f>IF(ISNUMBER((Tasas!D14-Datos!BF14)/Datos!BF14),(Tasas!D14-Datos!BF14)/Datos!BF14," - ")</f>
        <v>-0.38260469524062857</v>
      </c>
      <c r="K14" s="403">
        <f>IF(ISNUMBER((Tasas!E14-Datos!BG14)/Datos!BG14),(Tasas!E14-Datos!BG14)/Datos!BG14," - ")</f>
        <v>-1.4314554142994689E-2</v>
      </c>
      <c r="M14" t="e">
        <f>IF(Monitorios="SI",Datos!CE14,0)</f>
        <v>#REF!</v>
      </c>
      <c r="N14" t="e">
        <f>IF(Monitorios="SI",Datos!CF14,0)</f>
        <v>#REF!</v>
      </c>
      <c r="O14" t="e">
        <f>IF(Monitorios="SI",Datos!CG14,0)</f>
        <v>#REF!</v>
      </c>
      <c r="P14" t="e">
        <f>IF(Monitorios="SI",Datos!CH14,0)</f>
        <v>#REF!</v>
      </c>
      <c r="Q14">
        <f>IF(J_V="SI",0,Datos!AG14)</f>
        <v>100</v>
      </c>
      <c r="R14">
        <f>IF(J_V="SI",0,Datos!AH14)</f>
        <v>461</v>
      </c>
      <c r="S14">
        <f>IF(J_V="SI",0,Datos!AI14)</f>
        <v>485</v>
      </c>
      <c r="T14">
        <f>IF(J_V="SI",0,Datos!AJ14)</f>
        <v>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0.13288288288288289</v>
      </c>
      <c r="E17" s="393">
        <f>IF(ISNUMBER(
   IF(D_I="SI",(Datos!J17-Datos!T17)/Datos!T17,(Datos!J17+Datos!AD17-(Datos!T17+Datos!AL17))/(Datos!T17+Datos!AL17))
     ),IF(D_I="SI",(Datos!J17-Datos!T17)/Datos!T17,(Datos!J17+Datos!AD17-(Datos!T17+Datos!AL17))/(Datos!T17+Datos!AL17))," - ")</f>
        <v>7.2534945221004912E-2</v>
      </c>
      <c r="F17" s="393">
        <f>IF(ISNUMBER(
   IF(D_I="SI",(Datos!K17-Datos!U17)/Datos!U17,(Datos!K17+Datos!AE17-(Datos!U17+Datos!AM17))/(Datos!U17+Datos!AM17))
     ),IF(D_I="SI",(Datos!K17-Datos!U17)/Datos!U17,(Datos!K17+Datos!AE17-(Datos!U17+Datos!AM17))/(Datos!U17+Datos!AM17))," - ")</f>
        <v>7.6534733441033925E-2</v>
      </c>
      <c r="G17" s="394">
        <f>IF(ISNUMBER(
   IF(D_I="SI",(Datos!L17-Datos!V17)/Datos!V17,(Datos!L17+Datos!AF17-(Datos!V17+Datos!AN17))/(Datos!V17+Datos!AN17))
     ),IF(D_I="SI",(Datos!L17-Datos!V17)/Datos!V17,(Datos!L17+Datos!AF17-(Datos!V17+Datos!AN17))/(Datos!V17+Datos!AN17))," - ")</f>
        <v>4.4731610337972166E-3</v>
      </c>
      <c r="H17" s="244">
        <f>IF(ISNUMBER((Datos!M17-Datos!W17)/Datos!W17),(Datos!M17-Datos!W17)/Datos!W17," - ")</f>
        <v>7.0806100217864917E-2</v>
      </c>
      <c r="I17" s="395">
        <f>IF(ISNUMBER((Tasas!C17-Datos!BE17)/Datos!BE17),(Tasas!C17-Datos!BE17)/Datos!BE17," - ")</f>
        <v>-6.6938455554424403E-2</v>
      </c>
      <c r="J17" s="394">
        <f>IF(ISNUMBER((Tasas!D17-Datos!BF17)/Datos!BF17),(Tasas!D17-Datos!BF17)/Datos!BF17," - ")</f>
        <v>-5.3213640444819419E-3</v>
      </c>
      <c r="K17" s="396">
        <f>IF(ISNUMBER((Tasas!E17-Datos!BG17)/Datos!BG17),(Tasas!E17-Datos!BG17)/Datos!BG17," - ")</f>
        <v>1.0366363431101595E-2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-4.4776119402985072E-2</v>
      </c>
      <c r="E18" s="393">
        <f>IF(ISNUMBER(
   IF(D_I="SI",(Datos!J18-Datos!T18)/Datos!T18,(Datos!J18+Datos!AD18-(Datos!T18+Datos!AL18))/(Datos!T18+Datos!AL18))
     ),IF(D_I="SI",(Datos!J18-Datos!T18)/Datos!T18,(Datos!J18+Datos!AD18-(Datos!T18+Datos!AL18))/(Datos!T18+Datos!AL18))," - ")</f>
        <v>-4.2283298097251587E-3</v>
      </c>
      <c r="F18" s="393">
        <f>IF(ISNUMBER(
   IF(D_I="SI",(Datos!K18-Datos!U18)/Datos!U18,(Datos!K18+Datos!AE18-(Datos!U18+Datos!AM18))/(Datos!U18+Datos!AM18))
     ),IF(D_I="SI",(Datos!K18-Datos!U18)/Datos!U18,(Datos!K18+Datos!AE18-(Datos!U18+Datos!AM18))/(Datos!U18+Datos!AM18))," - ")</f>
        <v>-2.0920502092050208E-2</v>
      </c>
      <c r="G18" s="394">
        <f>IF(ISNUMBER(
   IF(D_I="SI",(Datos!L18-Datos!V18)/Datos!V18,(Datos!L18+Datos!AF18-(Datos!V18+Datos!AN18))/(Datos!V18+Datos!AN18))
     ),IF(D_I="SI",(Datos!L18-Datos!V18)/Datos!V18,(Datos!L18+Datos!AF18-(Datos!V18+Datos!AN18))/(Datos!V18+Datos!AN18))," - ")</f>
        <v>0.5078125</v>
      </c>
      <c r="H18" s="244">
        <f>IF(ISNUMBER((Datos!M18-Datos!W18)/Datos!W18),(Datos!M18-Datos!W18)/Datos!W18," - ")</f>
        <v>-7.8947368421052627E-2</v>
      </c>
      <c r="I18" s="395">
        <f>IF(ISNUMBER((Tasas!C18-Datos!BE18)/Datos!BE18),(Tasas!C18-Datos!BE18)/Datos!BE18," - ")</f>
        <v>0.54003071581196582</v>
      </c>
      <c r="J18" s="394">
        <f>IF(ISNUMBER((Tasas!D18-Datos!BF18)/Datos!BF18),(Tasas!D18-Datos!BF18)/Datos!BF18," - ")</f>
        <v>-5.9266756635177706E-2</v>
      </c>
      <c r="K18" s="396">
        <f>IF(ISNUMBER((Tasas!E18-Datos!BG18)/Datos!BG18),(Tasas!E18-Datos!BG18)/Datos!BG18," - ")</f>
        <v>7.906334924456743E-3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0.12041884816753927</v>
      </c>
      <c r="E23" s="399">
        <f>IF(ISNUMBER(
   IF(D_I="SI",(Datos!J23-Datos!T23)/Datos!T23,(Datos!J23+Datos!AD23-(Datos!T23+Datos!AL23))/(Datos!T23+Datos!AL23))
     ),IF(D_I="SI",(Datos!J23-Datos!T23)/Datos!T23,(Datos!J23+Datos!AD23-(Datos!T23+Datos!AL23))/(Datos!T23+Datos!AL23))," - ")</f>
        <v>6.6238945725680592E-2</v>
      </c>
      <c r="F23" s="399">
        <f>IF(ISNUMBER(
   IF(D_I="SI",(Datos!K23-Datos!U23)/Datos!U23,(Datos!K23+Datos!AE23-(Datos!U23+Datos!AM23))/(Datos!U23+Datos!AM23))
     ),IF(D_I="SI",(Datos!K23-Datos!U23)/Datos!U23,(Datos!K23+Datos!AE23-(Datos!U23+Datos!AM23))/(Datos!U23+Datos!AM23))," - ")</f>
        <v>6.7955801104972374E-2</v>
      </c>
      <c r="G23" s="400">
        <f>IF(ISNUMBER(
   IF(D_I="SI",(Datos!L23-Datos!V23)/Datos!V23,(Datos!L23+Datos!AF23-(Datos!V23+Datos!AN23))/(Datos!V23+Datos!AN23))
     ),IF(D_I="SI",(Datos!L23-Datos!V23)/Datos!V23,(Datos!L23+Datos!AF23-(Datos!V23+Datos!AN23))/(Datos!V23+Datos!AN23))," - ")</f>
        <v>3.4579439252336447E-2</v>
      </c>
      <c r="H23" s="401">
        <f>IF(ISNUMBER((Datos!M23-Datos!W23)/Datos!W23),(Datos!M23-Datos!W23)/Datos!W23," - ")</f>
        <v>6.4853556485355651E-2</v>
      </c>
      <c r="I23" s="402">
        <f>IF(ISNUMBER((Tasas!C23-Datos!BE23)/Datos!BE23),(Tasas!C23-Datos!BE23)/Datos!BE23," - ")</f>
        <v>-3.1252568522126725E-2</v>
      </c>
      <c r="J23" s="400">
        <f>IF(ISNUMBER((Tasas!D23-Datos!BF23)/Datos!BF23),(Tasas!D23-Datos!BF23)/Datos!BF23," - ")</f>
        <v>-2.904843642786393E-3</v>
      </c>
      <c r="K23" s="403">
        <f>IF(ISNUMBER((Tasas!E23-Datos!BG23)/Datos!BG23),(Tasas!E23-Datos!BG23)/Datos!BG23," - ")</f>
        <v>1.1014350010219238E-2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7.8086090359302737E-2</v>
      </c>
      <c r="E31" s="409">
        <f>IF(ISNUMBER(
   IF(J_V="SI",(Datos!J31-Datos!T31)/Datos!T31,(Datos!J31+Datos!Z31-(Datos!T31+Datos!AH31))/(Datos!T31+Datos!AH31))
     ),IF(J_V="SI",(Datos!J31-Datos!T31)/Datos!T31,(Datos!J31+Datos!Z31-(Datos!T31+Datos!AH31))/(Datos!T31+Datos!AH31))," - ")</f>
        <v>0.15005081770303982</v>
      </c>
      <c r="F31" s="409">
        <f>IF(ISNUMBER(
   IF(J_V="SI",(Datos!K31-Datos!U31)/Datos!U31,(Datos!K31+Datos!AA31-(Datos!U31+Datos!AI31))/(Datos!U31+Datos!AI31))
     ),IF(J_V="SI",(Datos!K31-Datos!U31)/Datos!U31,(Datos!K31+Datos!AA31-(Datos!U31+Datos!AI31))/(Datos!U31+Datos!AI31))," - ")</f>
        <v>0.12124790867040645</v>
      </c>
      <c r="G31" s="410">
        <f>IF(ISNUMBER(
   IF(J_V="SI",(Datos!L31-Datos!V31)/Datos!V31,(Datos!L31+Datos!AB31-(Datos!V31+Datos!AJ31))/(Datos!V31+Datos!AJ31))
     ),IF(J_V="SI",(Datos!L31-Datos!V31)/Datos!V31,(Datos!L31+Datos!AB31-(Datos!V31+Datos!AJ31))/(Datos!V31+Datos!AJ31))," - ")</f>
        <v>0.1600395974261673</v>
      </c>
      <c r="H31" s="411">
        <f>IF(ISNUMBER((Datos!M31-Datos!W31)/Datos!W31),(Datos!M31-Datos!W31)/Datos!W31," - ")</f>
        <v>7.3441108545034647E-2</v>
      </c>
      <c r="I31" s="408">
        <f>IF(ISNUMBER((Tasas!C31-Datos!BE31)/Datos!BE31),(Tasas!C31-Datos!BE31)/Datos!BE31," - ")</f>
        <v>3.4596888391756918E-2</v>
      </c>
      <c r="J31" s="409">
        <f>IF(ISNUMBER((Tasas!D31-Datos!BF31)/Datos!BF31),(Tasas!D31-Datos!BF31)/Datos!BF31," - ")</f>
        <v>-0.24492145738035861</v>
      </c>
      <c r="K31" s="410">
        <f>IF(ISNUMBER((Tasas!E31-Datos!BG31)/Datos!BG31),(Tasas!E31-Datos!BG31)/Datos!BG31," - ")</f>
        <v>3.7463221790745454E-3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9.6340327112337462E-2</v>
      </c>
      <c r="E33" s="303">
        <f t="shared" si="1"/>
        <v>0.23022074746670762</v>
      </c>
      <c r="F33" s="303">
        <f t="shared" si="1"/>
        <v>7.7759293369011218E-2</v>
      </c>
      <c r="G33" s="304">
        <f t="shared" si="1"/>
        <v>0.23369889793880266</v>
      </c>
      <c r="H33" s="310">
        <f t="shared" si="1"/>
        <v>0.10604387930232431</v>
      </c>
      <c r="I33" s="302">
        <f t="shared" si="1"/>
        <v>0.2489232851322935</v>
      </c>
      <c r="J33" s="303">
        <f t="shared" si="1"/>
        <v>0.18106248463657881</v>
      </c>
      <c r="K33" s="304">
        <f t="shared" si="1"/>
        <v>0.19607191476379005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E5C9Ha1oyhRBk5UI7sPMFM/A9RwVOksPEfxAD1eaWvZZt7jvIj+DhEOGgsQ3DZHp73KsIHyU0tvAcO3LKXTNg==" saltValue="8oz8qdAYcsLQ39iIM4jhk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